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queryTables/queryTable1.xml" ContentType="application/vnd.openxmlformats-officedocument.spreadsheetml.query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checkCompatibility="1" defaultThemeVersion="124226"/>
  <bookViews>
    <workbookView showSheetTabs="0" xWindow="-30" yWindow="75" windowWidth="12645" windowHeight="8145" tabRatio="943"/>
  </bookViews>
  <sheets>
    <sheet name="Dashboard" sheetId="4" r:id="rId1"/>
    <sheet name="Pressure Testing PE Pipe" sheetId="18" r:id="rId2"/>
    <sheet name="Concrete Thrust Anchorage(Proj)" sheetId="19" r:id="rId3"/>
    <sheet name="Concrete Thrust Anchorage(Ind)" sheetId="14" r:id="rId4"/>
    <sheet name="PE Shrinkage Restraint" sheetId="21" r:id="rId5"/>
    <sheet name="Restrained Main Lengths" sheetId="15" r:id="rId6"/>
    <sheet name="Settings" sheetId="10" r:id="rId7"/>
  </sheets>
  <definedNames>
    <definedName name="Pipes">Settings!$D$6:$D$28</definedName>
    <definedName name="PipeSizes">Settings!$D$6:$E$28</definedName>
    <definedName name="Poly">Settings!$H$5:$H$13</definedName>
    <definedName name="PolyID">Settings!$H$5:$I$13</definedName>
    <definedName name="POLYIDCSA">Settings!$H$5:$J$13</definedName>
    <definedName name="_xlnm.Print_Area" localSheetId="2">'Concrete Thrust Anchorage(Proj)'!$A$1:$M$89</definedName>
    <definedName name="SoilType">Settings!$F$5:$G$11</definedName>
    <definedName name="SoilTypes">Settings!$F$5:$G$11</definedName>
    <definedName name="watercalculator" localSheetId="0">Dashboard!$D$38</definedName>
  </definedNames>
  <calcPr calcId="145621"/>
</workbook>
</file>

<file path=xl/calcChain.xml><?xml version="1.0" encoding="utf-8"?>
<calcChain xmlns="http://schemas.openxmlformats.org/spreadsheetml/2006/main">
  <c r="L130" i="15" l="1"/>
  <c r="L129" i="15" s="1"/>
  <c r="L115" i="15"/>
  <c r="L107" i="15"/>
  <c r="E107" i="15"/>
  <c r="E103" i="15"/>
  <c r="L84" i="15"/>
  <c r="L77" i="15" l="1"/>
  <c r="E77" i="15"/>
  <c r="E67" i="15"/>
  <c r="L49" i="15"/>
  <c r="E57" i="15"/>
  <c r="L53" i="15"/>
  <c r="L23" i="15"/>
  <c r="L25" i="15"/>
  <c r="E19" i="15"/>
  <c r="L103" i="15"/>
  <c r="K141" i="15"/>
  <c r="L132" i="15"/>
  <c r="L117" i="15"/>
  <c r="L86" i="15"/>
  <c r="L67" i="15"/>
  <c r="L57" i="15"/>
  <c r="L19" i="15"/>
  <c r="L10" i="15"/>
  <c r="L7" i="15"/>
  <c r="L125" i="15" s="1"/>
  <c r="E10" i="15"/>
  <c r="L82" i="15" l="1"/>
  <c r="L128" i="15"/>
  <c r="L9" i="15"/>
  <c r="L30" i="15" s="1"/>
  <c r="L113" i="15"/>
  <c r="L126" i="15"/>
  <c r="L127" i="15" s="1"/>
  <c r="L70" i="15"/>
  <c r="L27" i="15"/>
  <c r="L50" i="15"/>
  <c r="L104" i="15"/>
  <c r="L118" i="15" s="1"/>
  <c r="L26" i="15"/>
  <c r="L108" i="15"/>
  <c r="L133" i="15" s="1"/>
  <c r="L20" i="15"/>
  <c r="L32" i="15" s="1"/>
  <c r="L58" i="15"/>
  <c r="L54" i="15" s="1"/>
  <c r="L78" i="15"/>
  <c r="L124" i="15" l="1"/>
  <c r="L134" i="15" s="1"/>
  <c r="F16" i="21"/>
  <c r="F32" i="21" s="1"/>
  <c r="J6" i="10" l="1"/>
  <c r="J7" i="10"/>
  <c r="J8" i="10"/>
  <c r="J9" i="10"/>
  <c r="J10" i="10"/>
  <c r="J11" i="10"/>
  <c r="J12" i="10"/>
  <c r="J13" i="10"/>
  <c r="J5" i="10"/>
  <c r="F45" i="21" l="1"/>
  <c r="O50" i="21" s="1"/>
  <c r="F40" i="21" l="1"/>
  <c r="F47" i="21"/>
  <c r="E18" i="18"/>
  <c r="E19" i="18"/>
  <c r="J6" i="19"/>
  <c r="J12" i="19" s="1"/>
  <c r="G61" i="19"/>
  <c r="G62" i="19"/>
  <c r="G63" i="19"/>
  <c r="G64" i="19"/>
  <c r="H72" i="19"/>
  <c r="H73" i="19"/>
  <c r="H74" i="19"/>
  <c r="H75" i="19"/>
  <c r="H76" i="19"/>
  <c r="H77" i="19"/>
  <c r="H78" i="19"/>
  <c r="H79" i="19"/>
  <c r="H80" i="19"/>
  <c r="H71" i="19"/>
  <c r="G72" i="19"/>
  <c r="G73" i="19"/>
  <c r="G74" i="19"/>
  <c r="G75" i="19"/>
  <c r="G76" i="19"/>
  <c r="G77" i="19"/>
  <c r="G78" i="19"/>
  <c r="G79" i="19"/>
  <c r="G80" i="19"/>
  <c r="G71" i="19"/>
  <c r="G52" i="19"/>
  <c r="G53" i="19"/>
  <c r="G54" i="19"/>
  <c r="G55" i="19"/>
  <c r="G56" i="19"/>
  <c r="G57" i="19"/>
  <c r="G58" i="19"/>
  <c r="G59" i="19"/>
  <c r="G60" i="19"/>
  <c r="G65" i="19"/>
  <c r="G51" i="19"/>
  <c r="F42" i="19"/>
  <c r="F43" i="19"/>
  <c r="F44" i="19"/>
  <c r="F45" i="19"/>
  <c r="F36" i="19"/>
  <c r="F37" i="19"/>
  <c r="F38" i="19"/>
  <c r="F39" i="19"/>
  <c r="F40" i="19"/>
  <c r="F41" i="19"/>
  <c r="F35" i="19"/>
  <c r="C19" i="18"/>
  <c r="C18" i="18"/>
  <c r="F19" i="19"/>
  <c r="F20" i="19"/>
  <c r="F21" i="19"/>
  <c r="F22" i="19"/>
  <c r="F23" i="19"/>
  <c r="F24" i="19"/>
  <c r="F25" i="19"/>
  <c r="F26" i="19"/>
  <c r="F27" i="19"/>
  <c r="F28" i="19"/>
  <c r="F29" i="19"/>
  <c r="D19" i="14"/>
  <c r="D21" i="14" s="1"/>
  <c r="D23" i="14" s="1"/>
  <c r="C40" i="4"/>
  <c r="L46" i="21"/>
  <c r="F38" i="21"/>
  <c r="F36" i="21"/>
  <c r="F34" i="21"/>
  <c r="N32" i="21" l="1"/>
  <c r="D25" i="14"/>
  <c r="F63" i="19"/>
  <c r="H63" i="19" s="1"/>
  <c r="I63" i="19" s="1"/>
  <c r="F64" i="19"/>
  <c r="H64" i="19" s="1"/>
  <c r="I64" i="19" s="1"/>
  <c r="F62" i="19"/>
  <c r="H62" i="19" s="1"/>
  <c r="I62" i="19" s="1"/>
  <c r="F61" i="19"/>
  <c r="H61" i="19" s="1"/>
  <c r="I61" i="19" s="1"/>
  <c r="F42" i="21"/>
  <c r="N36" i="21" s="1"/>
  <c r="F49" i="21"/>
  <c r="N38" i="21" s="1"/>
  <c r="N42" i="21" l="1"/>
  <c r="F52" i="21"/>
  <c r="N34" i="21"/>
  <c r="N40" i="21" s="1"/>
  <c r="N50" i="21"/>
  <c r="Q50" i="21"/>
  <c r="P50" i="21"/>
  <c r="P51" i="21"/>
  <c r="Q51" i="21"/>
  <c r="N51" i="21"/>
  <c r="O51" i="21"/>
  <c r="I80" i="19" l="1"/>
  <c r="J80" i="19" s="1"/>
  <c r="F80" i="19"/>
  <c r="I79" i="19"/>
  <c r="J79" i="19" s="1"/>
  <c r="F79" i="19"/>
  <c r="I78" i="19"/>
  <c r="J78" i="19" s="1"/>
  <c r="F78" i="19"/>
  <c r="I77" i="19"/>
  <c r="J77" i="19" s="1"/>
  <c r="F77" i="19"/>
  <c r="F65" i="19"/>
  <c r="H65" i="19" s="1"/>
  <c r="I65" i="19" s="1"/>
  <c r="F60" i="19"/>
  <c r="H60" i="19" s="1"/>
  <c r="I60" i="19" s="1"/>
  <c r="F32" i="19"/>
  <c r="F30" i="19"/>
  <c r="E29" i="19"/>
  <c r="G29" i="19" s="1"/>
  <c r="H29" i="19" s="1"/>
  <c r="E7" i="15"/>
  <c r="E111" i="15" s="1"/>
  <c r="E20" i="15"/>
  <c r="E27" i="15"/>
  <c r="E28" i="15"/>
  <c r="E51" i="15"/>
  <c r="E52" i="15"/>
  <c r="E53" i="15"/>
  <c r="E58" i="15"/>
  <c r="E54" i="15" s="1"/>
  <c r="E84" i="15"/>
  <c r="E85" i="15"/>
  <c r="E86" i="15"/>
  <c r="E78" i="15"/>
  <c r="E115" i="15"/>
  <c r="E116" i="15"/>
  <c r="E117" i="15"/>
  <c r="E130" i="15"/>
  <c r="E131" i="15"/>
  <c r="E132" i="15"/>
  <c r="D141" i="15"/>
  <c r="L114" i="15" s="1"/>
  <c r="L51" i="15" l="1"/>
  <c r="E104" i="15"/>
  <c r="E118" i="15" s="1"/>
  <c r="E82" i="15"/>
  <c r="E108" i="15"/>
  <c r="E133" i="15" s="1"/>
  <c r="L83" i="15"/>
  <c r="E32" i="15"/>
  <c r="E9" i="15"/>
  <c r="L111" i="15"/>
  <c r="L112" i="15" s="1"/>
  <c r="L80" i="15"/>
  <c r="L81" i="15" s="1"/>
  <c r="L46" i="15"/>
  <c r="L47" i="15" s="1"/>
  <c r="I9" i="14"/>
  <c r="E70" i="15"/>
  <c r="E23" i="15"/>
  <c r="E125" i="15"/>
  <c r="E126" i="15" s="1"/>
  <c r="E127" i="15" s="1"/>
  <c r="E112" i="15"/>
  <c r="F75" i="19"/>
  <c r="I75" i="19" s="1"/>
  <c r="J75" i="19" s="1"/>
  <c r="F73" i="19"/>
  <c r="I73" i="19" s="1"/>
  <c r="J73" i="19" s="1"/>
  <c r="F71" i="19"/>
  <c r="I71" i="19" s="1"/>
  <c r="J71" i="19" s="1"/>
  <c r="F59" i="19"/>
  <c r="H59" i="19" s="1"/>
  <c r="I59" i="19" s="1"/>
  <c r="F58" i="19"/>
  <c r="H58" i="19" s="1"/>
  <c r="I58" i="19" s="1"/>
  <c r="F57" i="19"/>
  <c r="H57" i="19" s="1"/>
  <c r="I57" i="19" s="1"/>
  <c r="F56" i="19"/>
  <c r="H56" i="19" s="1"/>
  <c r="I56" i="19" s="1"/>
  <c r="F55" i="19"/>
  <c r="H55" i="19" s="1"/>
  <c r="I55" i="19" s="1"/>
  <c r="F54" i="19"/>
  <c r="H54" i="19" s="1"/>
  <c r="I54" i="19" s="1"/>
  <c r="F53" i="19"/>
  <c r="H53" i="19" s="1"/>
  <c r="I53" i="19" s="1"/>
  <c r="F52" i="19"/>
  <c r="H52" i="19" s="1"/>
  <c r="I52" i="19" s="1"/>
  <c r="F51" i="19"/>
  <c r="H51" i="19" s="1"/>
  <c r="I51" i="19" s="1"/>
  <c r="E45" i="19"/>
  <c r="G45" i="19" s="1"/>
  <c r="H45" i="19" s="1"/>
  <c r="E44" i="19"/>
  <c r="G44" i="19" s="1"/>
  <c r="H44" i="19" s="1"/>
  <c r="E43" i="19"/>
  <c r="G43" i="19" s="1"/>
  <c r="H43" i="19" s="1"/>
  <c r="E42" i="19"/>
  <c r="G42" i="19" s="1"/>
  <c r="H42" i="19" s="1"/>
  <c r="E41" i="19"/>
  <c r="G41" i="19" s="1"/>
  <c r="H41" i="19" s="1"/>
  <c r="E40" i="19"/>
  <c r="G40" i="19" s="1"/>
  <c r="H40" i="19" s="1"/>
  <c r="E39" i="19"/>
  <c r="G39" i="19" s="1"/>
  <c r="H39" i="19" s="1"/>
  <c r="E38" i="19"/>
  <c r="G38" i="19" s="1"/>
  <c r="H38" i="19" s="1"/>
  <c r="E37" i="19"/>
  <c r="G37" i="19" s="1"/>
  <c r="H37" i="19" s="1"/>
  <c r="E36" i="19"/>
  <c r="G36" i="19" s="1"/>
  <c r="H36" i="19" s="1"/>
  <c r="E35" i="19"/>
  <c r="G35" i="19" s="1"/>
  <c r="H35" i="19" s="1"/>
  <c r="E28" i="19"/>
  <c r="G28" i="19" s="1"/>
  <c r="H28" i="19" s="1"/>
  <c r="E26" i="19"/>
  <c r="G26" i="19" s="1"/>
  <c r="H26" i="19" s="1"/>
  <c r="E24" i="19"/>
  <c r="G24" i="19" s="1"/>
  <c r="H24" i="19" s="1"/>
  <c r="E22" i="19"/>
  <c r="G22" i="19" s="1"/>
  <c r="H22" i="19" s="1"/>
  <c r="E20" i="19"/>
  <c r="G20" i="19" s="1"/>
  <c r="H20" i="19" s="1"/>
  <c r="F76" i="19"/>
  <c r="F74" i="19"/>
  <c r="I74" i="19" s="1"/>
  <c r="J74" i="19" s="1"/>
  <c r="F72" i="19"/>
  <c r="I72" i="19" s="1"/>
  <c r="J72" i="19" s="1"/>
  <c r="E27" i="19"/>
  <c r="G27" i="19" s="1"/>
  <c r="H27" i="19" s="1"/>
  <c r="E25" i="19"/>
  <c r="G25" i="19" s="1"/>
  <c r="H25" i="19" s="1"/>
  <c r="E23" i="19"/>
  <c r="G23" i="19" s="1"/>
  <c r="H23" i="19" s="1"/>
  <c r="E21" i="19"/>
  <c r="G21" i="19" s="1"/>
  <c r="H21" i="19" s="1"/>
  <c r="E19" i="19"/>
  <c r="G19" i="19" s="1"/>
  <c r="I76" i="19"/>
  <c r="J76" i="19" s="1"/>
  <c r="D21" i="18"/>
  <c r="D18" i="18"/>
  <c r="D19" i="18"/>
  <c r="E128" i="15"/>
  <c r="E113" i="15"/>
  <c r="E80" i="15"/>
  <c r="E81" i="15" s="1"/>
  <c r="E49" i="15"/>
  <c r="E46" i="15"/>
  <c r="E47" i="15" s="1"/>
  <c r="E25" i="15"/>
  <c r="E129" i="15"/>
  <c r="E114" i="15"/>
  <c r="E83" i="15"/>
  <c r="E50" i="15"/>
  <c r="E26" i="15"/>
  <c r="L48" i="15" l="1"/>
  <c r="L55" i="15" s="1"/>
  <c r="L60" i="15" s="1"/>
  <c r="E79" i="15"/>
  <c r="E88" i="15" s="1"/>
  <c r="L79" i="15"/>
  <c r="L88" i="15" s="1"/>
  <c r="E110" i="15"/>
  <c r="E119" i="15" s="1"/>
  <c r="E30" i="15"/>
  <c r="E48" i="15"/>
  <c r="E55" i="15" s="1"/>
  <c r="E60" i="15" s="1"/>
  <c r="E71" i="15"/>
  <c r="E73" i="15" s="1"/>
  <c r="L71" i="15"/>
  <c r="L73" i="15" s="1"/>
  <c r="E24" i="15"/>
  <c r="L24" i="15"/>
  <c r="L110" i="15"/>
  <c r="L119" i="15" s="1"/>
  <c r="L121" i="15" s="1"/>
  <c r="H19" i="19"/>
  <c r="I11" i="14"/>
  <c r="I13" i="14" s="1"/>
  <c r="E124" i="15"/>
  <c r="E134" i="15" s="1"/>
  <c r="E90" i="15" l="1"/>
  <c r="L90" i="15"/>
  <c r="L22" i="15"/>
  <c r="L33" i="15" s="1"/>
  <c r="L36" i="15" s="1"/>
  <c r="E22" i="15"/>
  <c r="E121" i="15"/>
  <c r="L34" i="15" l="1"/>
  <c r="L38" i="15" s="1"/>
  <c r="E34" i="15"/>
  <c r="E38" i="15" s="1"/>
  <c r="E33" i="15"/>
  <c r="E36" i="15" s="1"/>
</calcChain>
</file>

<file path=xl/connections.xml><?xml version="1.0" encoding="utf-8"?>
<connections xmlns="http://schemas.openxmlformats.org/spreadsheetml/2006/main">
  <connection id="1" name="Connection" type="4" refreshedVersion="4" refreshOnLoad="1">
    <webPr sourceData="1" parsePre="1" consecutive="1" xl2000="1" url="http://www.mrwa.com.au/Documents/Standards/watercalculator.txt" htmlTables="1"/>
  </connection>
</connections>
</file>

<file path=xl/sharedStrings.xml><?xml version="1.0" encoding="utf-8"?>
<sst xmlns="http://schemas.openxmlformats.org/spreadsheetml/2006/main" count="631" uniqueCount="274">
  <si>
    <t>Pressure Testing PE Pipe</t>
  </si>
  <si>
    <t xml:space="preserve"> litres</t>
  </si>
  <si>
    <t xml:space="preserve"> km</t>
  </si>
  <si>
    <t xml:space="preserve"> metres head</t>
  </si>
  <si>
    <t>PE Shrinkage Restraint</t>
  </si>
  <si>
    <t>Restrained Main Length</t>
  </si>
  <si>
    <t>Test Pressure (kPa)</t>
  </si>
  <si>
    <t>For tees, use the diameter of the offtake.</t>
  </si>
  <si>
    <t>Location Label</t>
  </si>
  <si>
    <t>Outside dia. of pipe (mm)</t>
  </si>
  <si>
    <t>Resultant thrust (kN)</t>
  </si>
  <si>
    <t>Required Thrust Area (m²)</t>
  </si>
  <si>
    <t>Nominal Pipe Diameter</t>
  </si>
  <si>
    <t>Deflection angle (x°)</t>
  </si>
  <si>
    <t>Test Pressure (Kpa)</t>
  </si>
  <si>
    <t>Diam Larger Pipe</t>
  </si>
  <si>
    <t>Diam Smaller Pipe</t>
  </si>
  <si>
    <t>Outside dia. of larger pipe (mm)</t>
  </si>
  <si>
    <t>Outside dia. of smaller pipe (mm)</t>
  </si>
  <si>
    <t>( Height based on 60% of length, this figure may be varied)</t>
  </si>
  <si>
    <t>Where:</t>
  </si>
  <si>
    <t>L=L(m)</t>
  </si>
  <si>
    <t>H=0.6L(m)</t>
  </si>
  <si>
    <t>To determine (L)ength and (H)eight proportions use formula L=√A/0.6</t>
  </si>
  <si>
    <t xml:space="preserve">1st hour </t>
  </si>
  <si>
    <t xml:space="preserve">Length </t>
  </si>
  <si>
    <t xml:space="preserve">Average Test Head </t>
  </si>
  <si>
    <t xml:space="preserve">≤ </t>
  </si>
  <si>
    <t xml:space="preserve">Test passes if: </t>
  </si>
  <si>
    <t>OD (mm)</t>
  </si>
  <si>
    <t>DN</t>
  </si>
  <si>
    <t>Bends</t>
  </si>
  <si>
    <t>AHBP(kPa)</t>
  </si>
  <si>
    <t>Soil Types</t>
  </si>
  <si>
    <t>Pipe Size</t>
  </si>
  <si>
    <r>
      <t>Deflection Angle (</t>
    </r>
    <r>
      <rPr>
        <b/>
        <sz val="11"/>
        <color theme="1"/>
        <rFont val="Calibri"/>
        <family val="2"/>
      </rPr>
      <t>°)</t>
    </r>
  </si>
  <si>
    <t>Calculator Settings</t>
  </si>
  <si>
    <t>Height (mm)</t>
  </si>
  <si>
    <t>Length (mm)</t>
  </si>
  <si>
    <t>Tees &amp; Bends Thrust Block Dimension Guide</t>
  </si>
  <si>
    <t>Thrust Material</t>
  </si>
  <si>
    <t>Resultant Thrust (kN)</t>
  </si>
  <si>
    <t>Test Pressure (m)</t>
  </si>
  <si>
    <t>*Only applicable when Fitting Type = Bends</t>
  </si>
  <si>
    <t>Fitting Type</t>
  </si>
  <si>
    <t>Fitting DN</t>
  </si>
  <si>
    <t>Soil Type</t>
  </si>
  <si>
    <t>Design Pressure (m)</t>
  </si>
  <si>
    <t>Tapers</t>
  </si>
  <si>
    <t>Deflection Angle (°)*</t>
  </si>
  <si>
    <t>Thrust Area (m²)</t>
  </si>
  <si>
    <t>Thrust Anchorages for Water Mains (Project)</t>
  </si>
  <si>
    <t>Thrust Anchorages for Water Mains (Individual)</t>
  </si>
  <si>
    <t xml:space="preserve">Enter the Soil Bearing Pressure for this site, in kPa:   </t>
  </si>
  <si>
    <t xml:space="preserve">Enter Top Water Level (TWL):   </t>
  </si>
  <si>
    <t xml:space="preserve">Enter Allowance for Surge in metres:   </t>
  </si>
  <si>
    <t xml:space="preserve">Enter Lowest RL or RL where Thrust Restraint is required:   </t>
  </si>
  <si>
    <t xml:space="preserve">Design Pressure for this site in metres:   </t>
  </si>
  <si>
    <t xml:space="preserve">Test Pressure Safety Factor:   </t>
  </si>
  <si>
    <t xml:space="preserve">Minimum Hydrostatic Test Pressure, in kPa:   </t>
  </si>
  <si>
    <t xml:space="preserve">Test Pressure (kPa):   </t>
  </si>
  <si>
    <t>m</t>
  </si>
  <si>
    <t>Cement Lining thickness</t>
  </si>
  <si>
    <t>Ductile iron wall thickness</t>
  </si>
  <si>
    <t>Trench Type Modifier</t>
  </si>
  <si>
    <t>soil friction angle</t>
  </si>
  <si>
    <t>deg</t>
  </si>
  <si>
    <t>water load density</t>
  </si>
  <si>
    <t>kN/m^3</t>
  </si>
  <si>
    <t>cement load density</t>
  </si>
  <si>
    <t>ductile iron load density</t>
  </si>
  <si>
    <t>earth load desity</t>
  </si>
  <si>
    <t>Soil Cohesion</t>
  </si>
  <si>
    <t>kN/m^2</t>
  </si>
  <si>
    <t>Pipe Cohesion</t>
  </si>
  <si>
    <t>Factor of Safety</t>
  </si>
  <si>
    <t>Assumptions / Constants Used &amp; Notes</t>
  </si>
  <si>
    <t>Thi x Fthi</t>
  </si>
  <si>
    <t>kN/m</t>
  </si>
  <si>
    <t>Cross Area Pipe x Y</t>
  </si>
  <si>
    <t>X x H xD</t>
  </si>
  <si>
    <t>Pipe Friction Angle</t>
  </si>
  <si>
    <t>Cement Thickness x 2</t>
  </si>
  <si>
    <t>Wall Thickness x 2</t>
  </si>
  <si>
    <t>Weight Water</t>
  </si>
  <si>
    <t>Weight Pipe</t>
  </si>
  <si>
    <t>Earth  load</t>
  </si>
  <si>
    <t>Depth to Stringer</t>
  </si>
  <si>
    <t>m2</t>
  </si>
  <si>
    <t>X section area small pipe</t>
  </si>
  <si>
    <t>Outside diameter of small pipe</t>
  </si>
  <si>
    <t>mm</t>
  </si>
  <si>
    <t>X section area big pipe</t>
  </si>
  <si>
    <t>Outside diameter of big pipe</t>
  </si>
  <si>
    <t>If -ve number, no restraint for the branch is required.</t>
  </si>
  <si>
    <t>m^2</t>
  </si>
  <si>
    <t>PieD^2 / 4</t>
  </si>
  <si>
    <t>Cross Sec Area</t>
  </si>
  <si>
    <t>Outside Diameter of Run</t>
  </si>
  <si>
    <t>Outside Diameter</t>
  </si>
  <si>
    <t>unit fric force</t>
  </si>
  <si>
    <t>Angle of pipe bend</t>
  </si>
  <si>
    <t>Nthi=Tan^2(45deg+Thi/2)</t>
  </si>
  <si>
    <t>Passive Soil P</t>
  </si>
  <si>
    <t>Cover</t>
  </si>
  <si>
    <t>kPa</t>
  </si>
  <si>
    <t>Test Pressure</t>
  </si>
  <si>
    <t>Fl =</t>
  </si>
  <si>
    <t>Restrained Main Lengths</t>
  </si>
  <si>
    <t>Acknowledgments: City West Water</t>
  </si>
  <si>
    <t>Open Calculator</t>
  </si>
  <si>
    <t>Volume (m³)</t>
  </si>
  <si>
    <t xml:space="preserve">PE Pipe Data </t>
  </si>
  <si>
    <t>Test Results</t>
  </si>
  <si>
    <t xml:space="preserve">Test result: </t>
  </si>
  <si>
    <r>
      <t>A=Thrust Area (m</t>
    </r>
    <r>
      <rPr>
        <vertAlign val="superscript"/>
        <sz val="9"/>
        <rFont val="Calibri"/>
        <family val="2"/>
        <scheme val="minor"/>
      </rPr>
      <t>2</t>
    </r>
    <r>
      <rPr>
        <sz val="9"/>
        <rFont val="Calibri"/>
        <family val="2"/>
        <scheme val="minor"/>
      </rPr>
      <t>)</t>
    </r>
  </si>
  <si>
    <t>Project Variables</t>
  </si>
  <si>
    <t>Thrust Block Dimensions</t>
  </si>
  <si>
    <t>Tees &amp; Dead Ends</t>
  </si>
  <si>
    <t>Valves</t>
  </si>
  <si>
    <t>Tapers &amp;/Or Reducers</t>
  </si>
  <si>
    <t>Poly OD</t>
  </si>
  <si>
    <t>Poly ID</t>
  </si>
  <si>
    <t xml:space="preserve">AHBP: </t>
  </si>
  <si>
    <t xml:space="preserve">Factor of Safety: </t>
  </si>
  <si>
    <t xml:space="preserve">Pipe Cross Section Area = </t>
  </si>
  <si>
    <t xml:space="preserve"> deg C</t>
  </si>
  <si>
    <t xml:space="preserve"> m</t>
  </si>
  <si>
    <t xml:space="preserve"> kPa</t>
  </si>
  <si>
    <t xml:space="preserve"> m/ deg/ m</t>
  </si>
  <si>
    <t xml:space="preserve"> mm</t>
  </si>
  <si>
    <t>Thrust Restraint Area</t>
  </si>
  <si>
    <t>Summary Table</t>
  </si>
  <si>
    <t>Constants</t>
  </si>
  <si>
    <t>Pi</t>
  </si>
  <si>
    <t xml:space="preserve">L (branch) = </t>
  </si>
  <si>
    <t xml:space="preserve">L = </t>
  </si>
  <si>
    <t xml:space="preserve">L (vertical down bends) = </t>
  </si>
  <si>
    <t xml:space="preserve">L (horizontal or vertical up bends) = </t>
  </si>
  <si>
    <t>Tees</t>
  </si>
  <si>
    <t>Dead Ends</t>
  </si>
  <si>
    <t>Calculations based on WSA03-2011</t>
  </si>
  <si>
    <t>Acknowledgments: City West Water, Yarra Valley Water</t>
  </si>
  <si>
    <t>Acknowledgments: South East Water</t>
  </si>
  <si>
    <t>m²</t>
  </si>
  <si>
    <t>Extract from MRWA-W-205A</t>
  </si>
  <si>
    <t>Input</t>
  </si>
  <si>
    <t>Calculation</t>
  </si>
  <si>
    <t>Constant</t>
  </si>
  <si>
    <t>Version Control</t>
  </si>
  <si>
    <t>Version:</t>
  </si>
  <si>
    <t>Latest:</t>
  </si>
  <si>
    <t>Calculator Style Guide</t>
  </si>
  <si>
    <t>Diameter (External)</t>
  </si>
  <si>
    <t>Stiff Clay (50 kPa)</t>
  </si>
  <si>
    <t>Medium-Dense Clean Sand (50 kPa)</t>
  </si>
  <si>
    <t>Very Stiff Clay (100 kPa)</t>
  </si>
  <si>
    <t>Dense Clean Sand / Gravel (100 kPa)</t>
  </si>
  <si>
    <t>Decomposed Rock (100 kPa)</t>
  </si>
  <si>
    <t>Hard Clay (200 kPa)</t>
  </si>
  <si>
    <t>Sound Rock (200 kPa)</t>
  </si>
  <si>
    <t>All length values shall be multiplied by a factor of 1.4 if pipework is wrapped in PE sleeve</t>
  </si>
  <si>
    <t>Formula constants are kept in these fields, contants may sometime need to be changed depending on the project or material type.</t>
  </si>
  <si>
    <t>Insert values in these fields, some fields may have drop down boxes or display notes when selected.</t>
  </si>
  <si>
    <t>Calculations based on the input will be displayed in these fields, important results will be displayed in bold.</t>
  </si>
  <si>
    <t>The Thrust Anchorage for Water Mains (Project) calculator assists the designer in finding the required thrust anchorage for all locations on their project.</t>
  </si>
  <si>
    <t>The Thrust Anchorage for Water Mains (Individual) calculator assists the designer in finding the required thrust anchorage fora single location, giving more detailed information on the dimensions of the thrust block.</t>
  </si>
  <si>
    <t>The PE Shrinkage Restraint calculator supplements the MRWA Water Code Standard Drawing MRWA-W-205A and assists the designer in calculating the required thrust restraint area for PE Shrinkage.</t>
  </si>
  <si>
    <t>The Restained Main Length calculator supplements the MRWA Water Code Standard Drawing MRWA-W-207 and assists the designer in calculating lengths L &amp; l.</t>
  </si>
  <si>
    <t>The Pressure Testing PE Pipe calculator assists in calculating the acceptance formulas provided in the MRWA Water Code and can quickly confirm if the test results are satisfactory.</t>
  </si>
  <si>
    <t>Menu</t>
  </si>
  <si>
    <t xml:space="preserve">SDR: </t>
  </si>
  <si>
    <t>Shut Valve Force</t>
  </si>
  <si>
    <t>Thermal Expansion</t>
  </si>
  <si>
    <t xml:space="preserve">B = P(SDR-1)/2 = </t>
  </si>
  <si>
    <t xml:space="preserve">Fr = A*B*C = </t>
  </si>
  <si>
    <t xml:space="preserve"> kN</t>
  </si>
  <si>
    <t xml:space="preserve"> m²</t>
  </si>
  <si>
    <t>Water Calculators</t>
  </si>
  <si>
    <t>Pipe Outside Diameter (mm)</t>
  </si>
  <si>
    <t>2nd hour</t>
  </si>
  <si>
    <t>3rd hour</t>
  </si>
  <si>
    <t>4th hour</t>
  </si>
  <si>
    <t>5th hour</t>
  </si>
  <si>
    <r>
      <t>Poisson's ratio (</t>
    </r>
    <r>
      <rPr>
        <sz val="11"/>
        <color theme="1"/>
        <rFont val="Calibri"/>
        <family val="2"/>
      </rPr>
      <t>µ)</t>
    </r>
    <r>
      <rPr>
        <sz val="11"/>
        <color theme="1"/>
        <rFont val="Calibri"/>
        <family val="2"/>
        <scheme val="minor"/>
      </rPr>
      <t xml:space="preserve">: </t>
    </r>
  </si>
  <si>
    <t xml:space="preserve">Test Pressure (P): </t>
  </si>
  <si>
    <t xml:space="preserve">Length of Main (L): </t>
  </si>
  <si>
    <t xml:space="preserve">Co-efficient of expansion (K): </t>
  </si>
  <si>
    <t xml:space="preserve">PE Pipe OD (D): </t>
  </si>
  <si>
    <t xml:space="preserve">2 yr Youngs Modulus (E): </t>
  </si>
  <si>
    <r>
      <rPr>
        <sz val="11"/>
        <color theme="1"/>
        <rFont val="Calibri"/>
        <family val="2"/>
      </rPr>
      <t>∆</t>
    </r>
    <r>
      <rPr>
        <sz val="11"/>
        <color theme="1"/>
        <rFont val="Calibri"/>
        <family val="2"/>
        <scheme val="minor"/>
      </rPr>
      <t>L</t>
    </r>
    <r>
      <rPr>
        <vertAlign val="subscript"/>
        <sz val="11"/>
        <color theme="1"/>
        <rFont val="Calibri"/>
        <family val="2"/>
        <scheme val="minor"/>
      </rPr>
      <t>1</t>
    </r>
    <r>
      <rPr>
        <sz val="11"/>
        <color theme="1"/>
        <rFont val="Calibri"/>
        <family val="2"/>
        <scheme val="minor"/>
      </rPr>
      <t xml:space="preserve"> =(L*µ*P)/E</t>
    </r>
  </si>
  <si>
    <r>
      <t>C = µ*</t>
    </r>
    <r>
      <rPr>
        <b/>
        <sz val="11"/>
        <color theme="1"/>
        <rFont val="GreekC"/>
      </rPr>
      <t>p</t>
    </r>
    <r>
      <rPr>
        <sz val="11"/>
        <color theme="1"/>
        <rFont val="Calibri"/>
        <family val="2"/>
        <scheme val="minor"/>
      </rPr>
      <t>*D</t>
    </r>
    <r>
      <rPr>
        <vertAlign val="superscript"/>
        <sz val="11"/>
        <color theme="1"/>
        <rFont val="Calibri"/>
        <family val="2"/>
        <scheme val="minor"/>
      </rPr>
      <t>2</t>
    </r>
    <r>
      <rPr>
        <sz val="11"/>
        <color theme="1"/>
        <rFont val="Calibri"/>
        <family val="2"/>
        <scheme val="minor"/>
      </rPr>
      <t xml:space="preserve"> = </t>
    </r>
  </si>
  <si>
    <r>
      <t>∆L</t>
    </r>
    <r>
      <rPr>
        <vertAlign val="subscript"/>
        <sz val="11"/>
        <color theme="1"/>
        <rFont val="Calibri"/>
        <family val="2"/>
        <scheme val="minor"/>
      </rPr>
      <t>2</t>
    </r>
    <r>
      <rPr>
        <sz val="11"/>
        <color theme="1"/>
        <rFont val="Calibri"/>
        <family val="2"/>
        <scheme val="minor"/>
      </rPr>
      <t xml:space="preserve"> = L*K*(T</t>
    </r>
    <r>
      <rPr>
        <vertAlign val="subscript"/>
        <sz val="11"/>
        <color theme="1"/>
        <rFont val="Calibri"/>
        <family val="2"/>
        <scheme val="minor"/>
      </rPr>
      <t>1</t>
    </r>
    <r>
      <rPr>
        <sz val="11"/>
        <color theme="1"/>
        <rFont val="Calibri"/>
        <family val="2"/>
        <scheme val="minor"/>
      </rPr>
      <t>-T</t>
    </r>
    <r>
      <rPr>
        <vertAlign val="subscript"/>
        <sz val="11"/>
        <color theme="1"/>
        <rFont val="Calibri"/>
        <family val="2"/>
        <scheme val="minor"/>
      </rPr>
      <t>2</t>
    </r>
    <r>
      <rPr>
        <sz val="11"/>
        <color theme="1"/>
        <rFont val="Calibri"/>
        <family val="2"/>
        <scheme val="minor"/>
      </rPr>
      <t xml:space="preserve">) = </t>
    </r>
  </si>
  <si>
    <r>
      <t>Ft = (T</t>
    </r>
    <r>
      <rPr>
        <vertAlign val="subscript"/>
        <sz val="11"/>
        <color theme="1"/>
        <rFont val="Calibri"/>
        <family val="2"/>
        <scheme val="minor"/>
      </rPr>
      <t>1</t>
    </r>
    <r>
      <rPr>
        <sz val="11"/>
        <color theme="1"/>
        <rFont val="Calibri"/>
        <family val="2"/>
        <scheme val="minor"/>
      </rPr>
      <t>-T</t>
    </r>
    <r>
      <rPr>
        <vertAlign val="subscript"/>
        <sz val="11"/>
        <color theme="1"/>
        <rFont val="Calibri"/>
        <family val="2"/>
        <scheme val="minor"/>
      </rPr>
      <t>2</t>
    </r>
    <r>
      <rPr>
        <sz val="11"/>
        <color theme="1"/>
        <rFont val="Calibri"/>
        <family val="2"/>
        <scheme val="minor"/>
      </rPr>
      <t xml:space="preserve">)*K*E*A = </t>
    </r>
  </si>
  <si>
    <r>
      <t>A = (1/SDR)-(1/SDR</t>
    </r>
    <r>
      <rPr>
        <vertAlign val="superscript"/>
        <sz val="11"/>
        <rFont val="Calibri"/>
        <family val="2"/>
        <scheme val="minor"/>
      </rPr>
      <t>2</t>
    </r>
    <r>
      <rPr>
        <sz val="11"/>
        <rFont val="Calibri"/>
        <family val="2"/>
        <scheme val="minor"/>
      </rPr>
      <t>) =</t>
    </r>
  </si>
  <si>
    <r>
      <t>Pipe Temp at Time of Connection (T</t>
    </r>
    <r>
      <rPr>
        <vertAlign val="subscript"/>
        <sz val="11"/>
        <rFont val="Calibri"/>
        <family val="2"/>
        <scheme val="minor"/>
      </rPr>
      <t>1</t>
    </r>
    <r>
      <rPr>
        <sz val="11"/>
        <rFont val="Calibri"/>
        <family val="2"/>
        <scheme val="minor"/>
      </rPr>
      <t xml:space="preserve">): </t>
    </r>
  </si>
  <si>
    <r>
      <t>Average ground temperature (T</t>
    </r>
    <r>
      <rPr>
        <vertAlign val="subscript"/>
        <sz val="11"/>
        <color theme="1"/>
        <rFont val="Calibri"/>
        <family val="2"/>
        <scheme val="minor"/>
      </rPr>
      <t>2</t>
    </r>
    <r>
      <rPr>
        <sz val="11"/>
        <color theme="1"/>
        <rFont val="Calibri"/>
        <family val="2"/>
        <scheme val="minor"/>
      </rPr>
      <t xml:space="preserve">): </t>
    </r>
  </si>
  <si>
    <t>Note:
1. Volume calculated is based on a rectangular shape with the 250mm width.
2. Length and height calculated so that the height is 60% of the length of the block.</t>
  </si>
  <si>
    <t>Width (mm)*</t>
  </si>
  <si>
    <t>*Depends on the Excavation. Typically 250mm</t>
  </si>
  <si>
    <t>Bend</t>
  </si>
  <si>
    <t>Valve</t>
  </si>
  <si>
    <t>Tee or Dead End</t>
  </si>
  <si>
    <r>
      <t>Min concrete thrust restraint area is 0.3 m</t>
    </r>
    <r>
      <rPr>
        <vertAlign val="superscript"/>
        <sz val="9"/>
        <color theme="1"/>
        <rFont val="Calibri"/>
        <family val="2"/>
        <scheme val="minor"/>
      </rPr>
      <t>2</t>
    </r>
    <r>
      <rPr>
        <sz val="9"/>
        <color theme="1"/>
        <rFont val="Calibri"/>
        <family val="2"/>
        <scheme val="minor"/>
      </rPr>
      <t>. Timber / Recycle block is not practical.</t>
    </r>
  </si>
  <si>
    <t>Taper</t>
  </si>
  <si>
    <t>Anchour Block Details</t>
  </si>
  <si>
    <t>Smaller DN</t>
  </si>
  <si>
    <t xml:space="preserve"> Select the larger size for Tapers</t>
  </si>
  <si>
    <r>
      <t>Change in Length (</t>
    </r>
    <r>
      <rPr>
        <sz val="11"/>
        <color theme="1"/>
        <rFont val="Calibri"/>
        <family val="2"/>
      </rPr>
      <t>∆L)</t>
    </r>
    <r>
      <rPr>
        <sz val="11"/>
        <color theme="1"/>
        <rFont val="Calibri"/>
        <family val="2"/>
        <scheme val="minor"/>
      </rPr>
      <t xml:space="preserve"> = </t>
    </r>
  </si>
  <si>
    <t>kN</t>
  </si>
  <si>
    <t>(-ve denotes PE main shrinkage)</t>
  </si>
  <si>
    <t xml:space="preserve">    PE Shrinkage Restraint IS NOT required when change of length is &gt; -20mm</t>
  </si>
  <si>
    <t xml:space="preserve">PE Pipe OD: </t>
  </si>
  <si>
    <t>Restraint Area (Valved) (m²)</t>
  </si>
  <si>
    <t>Restraint Area (Not Valved) (m²)</t>
  </si>
  <si>
    <t>Pipe Temp at Time of Connection</t>
  </si>
  <si>
    <t>Poisson's Effect</t>
  </si>
  <si>
    <t>Total Net Area (valved)=</t>
  </si>
  <si>
    <t>Total Net Area (not valved)=</t>
  </si>
  <si>
    <t xml:space="preserve">Force (net maximum) = </t>
  </si>
  <si>
    <t>Net Maximum Force</t>
  </si>
  <si>
    <t>MRWA Water Design Calculators - V1.9 (25/11/2016)</t>
  </si>
  <si>
    <t xml:space="preserve">Area (Valve Contribution) = </t>
  </si>
  <si>
    <t xml:space="preserve">Area (Poisson's Effect Contribution) = </t>
  </si>
  <si>
    <t>Area (Thermal Expansion Contribution)</t>
  </si>
  <si>
    <t>0.55 x ∆V(3rd hour) + Vall</t>
  </si>
  <si>
    <t>∆V(5th hour)</t>
  </si>
  <si>
    <r>
      <rPr>
        <b/>
        <u/>
        <sz val="11"/>
        <color theme="1"/>
        <rFont val="Calibri"/>
        <family val="2"/>
        <scheme val="minor"/>
      </rPr>
      <t xml:space="preserve">Test SOBs which contain significant amounts of both PE and non PE mains.
</t>
    </r>
    <r>
      <rPr>
        <sz val="11"/>
        <color theme="1"/>
        <rFont val="Calibri"/>
        <family val="2"/>
        <scheme val="minor"/>
      </rPr>
      <t>Where the Water Code specifies that a PE pressure test is required, it is acceptable to first attempt a No Loss Test (as the No Loss test is a higher standard) as follows:
• Keep the pipeline at or within 10% of the test pressure for 12 hours,
• Bring the main up to test pressure,
• Undertake a 15 minute No Loss test,
• If the pressure drops (by more than a few kPa), commence the full 5 hours pressure test in accordance with clause 19.4.1.1. 
The water agency will not record the unsuccessful attempt of the 15 minute No Loss test as a failure.
• The formal result for the pressure test will either be a No Loss test pass, a 5 hour PE test pass or a 5 hour PE test fail.</t>
    </r>
  </si>
  <si>
    <t>MRWA Water Design Calculators - V1.9 (27/11/2016)</t>
  </si>
  <si>
    <t>Water Added During / At End Of:</t>
  </si>
  <si>
    <r>
      <rPr>
        <b/>
        <u/>
        <sz val="11"/>
        <color theme="1"/>
        <rFont val="Calibri"/>
        <family val="2"/>
        <scheme val="minor"/>
      </rPr>
      <t>Test Shut Off Blocks (SOBs) which contain PE pipes of varying diameter .</t>
    </r>
    <r>
      <rPr>
        <b/>
        <sz val="11"/>
        <color theme="1"/>
        <rFont val="Calibri"/>
        <family val="2"/>
        <scheme val="minor"/>
      </rPr>
      <t xml:space="preserve">
</t>
    </r>
    <r>
      <rPr>
        <sz val="11"/>
        <color theme="1"/>
        <rFont val="Calibri"/>
        <family val="2"/>
        <scheme val="minor"/>
      </rPr>
      <t xml:space="preserve">For test SOBs containing </t>
    </r>
    <r>
      <rPr>
        <u/>
        <sz val="11"/>
        <color theme="1"/>
        <rFont val="Calibri"/>
        <family val="2"/>
        <scheme val="minor"/>
      </rPr>
      <t>&lt;</t>
    </r>
    <r>
      <rPr>
        <sz val="11"/>
        <color theme="1"/>
        <rFont val="Calibri"/>
        <family val="2"/>
        <scheme val="minor"/>
      </rPr>
      <t>DN63PE pipe, discount this smaller diameter pipework in the PE test calculations. If there are no PE mains &gt;DN63PE in the test SOB, test the SOB with the No Loss pressure testing method.</t>
    </r>
    <r>
      <rPr>
        <b/>
        <sz val="11"/>
        <color theme="1"/>
        <rFont val="Calibri"/>
        <family val="2"/>
        <scheme val="minor"/>
      </rPr>
      <t xml:space="preserve">
</t>
    </r>
    <r>
      <rPr>
        <sz val="11"/>
        <color theme="1"/>
        <rFont val="Calibri"/>
        <family val="2"/>
        <scheme val="minor"/>
      </rPr>
      <t>Where there is more than one diameter of PE mains &gt;DN63PE in the network to be tested, firstly try to separate the different diameter PE mains into separate Test SOBs. Where this is not practical, calculate the length weighted average diameter (Da) which = (L1D1 + L2D2 + L3D3) / ( L1 + L2 + L3). Then select the diameter in the PE pressure test calculator which is closest to Da. Where the selected diameter in the calculator is less than Da and the pressure test is a close fail, refer the matter to the water agency who will be able to change the calculator to insert the actual value of Da (rather than a standard PE pipe diameter).</t>
    </r>
  </si>
  <si>
    <r>
      <rPr>
        <b/>
        <u/>
        <sz val="11"/>
        <color theme="1"/>
        <rFont val="Calibri"/>
        <family val="2"/>
        <scheme val="minor"/>
      </rPr>
      <t xml:space="preserve">Interpreting the equations: </t>
    </r>
    <r>
      <rPr>
        <sz val="11"/>
        <color theme="1"/>
        <rFont val="Calibri"/>
        <family val="2"/>
        <scheme val="minor"/>
      </rPr>
      <t xml:space="preserve">
The procedure below refers to "</t>
    </r>
    <r>
      <rPr>
        <sz val="11"/>
        <color theme="1"/>
        <rFont val="Symbol"/>
        <family val="1"/>
        <charset val="2"/>
      </rPr>
      <t>D</t>
    </r>
    <r>
      <rPr>
        <sz val="11"/>
        <color theme="1"/>
        <rFont val="Calibri"/>
        <family val="2"/>
        <scheme val="minor"/>
      </rPr>
      <t>V (5hr - 4hr)". This is the amount of water added at the end of or during the 5th hour.
Some testers add water regularly to maintain the pressure and sum the total amount added during the fifth hour. Some testers only add water at the end of the 5th hour. Either method is acceptable.
Likewise, "</t>
    </r>
    <r>
      <rPr>
        <sz val="11"/>
        <color theme="1"/>
        <rFont val="Symbol"/>
        <family val="1"/>
        <charset val="2"/>
      </rPr>
      <t>D</t>
    </r>
    <r>
      <rPr>
        <sz val="11"/>
        <color theme="1"/>
        <rFont val="Calibri"/>
        <family val="2"/>
        <scheme val="minor"/>
      </rPr>
      <t>V (3hr-2hr)" is the amount of water added at the end of or during the 3rd hour.</t>
    </r>
  </si>
  <si>
    <t>Pipe weight calculations based on Di pipe</t>
  </si>
  <si>
    <t>FOR DUCTILE IRON PIPE</t>
  </si>
  <si>
    <t>FOR PE PIPE</t>
  </si>
  <si>
    <t>PE pipe density</t>
  </si>
  <si>
    <t>PE pipe SDR</t>
  </si>
  <si>
    <t xml:space="preserve">          ratio of pipe fric angle to soil fric angle</t>
  </si>
  <si>
    <t xml:space="preserve">             ratio of pipe fric angle to soil fric angle</t>
  </si>
  <si>
    <t>PE Pipe Length of Restrained Run (straight main)</t>
  </si>
  <si>
    <t>DI Pipe DN</t>
  </si>
  <si>
    <t>Pipe ID</t>
  </si>
  <si>
    <t>Cross Area Pipe x D</t>
  </si>
  <si>
    <t>Fitting thrust</t>
  </si>
  <si>
    <t xml:space="preserve"> </t>
  </si>
  <si>
    <t>Friction Thrust Resistance per meter</t>
  </si>
  <si>
    <t>vert down</t>
  </si>
  <si>
    <t>PE pipe ID</t>
  </si>
  <si>
    <t>Unit Friction Force</t>
  </si>
  <si>
    <t>Horizonal</t>
  </si>
  <si>
    <t>PE Pipe DN (OD)</t>
  </si>
  <si>
    <t>DI Pipe DN of straight main</t>
  </si>
  <si>
    <t>PE Pipe DN (OD) of straight main</t>
  </si>
  <si>
    <t>DI Pipe Length of Restrained Run (straight main)</t>
  </si>
  <si>
    <t>DI Pipe DN of Offtake</t>
  </si>
  <si>
    <t>PE Pipe Offtake DN (OD)</t>
  </si>
  <si>
    <t>PipeOD^2 / 4</t>
  </si>
  <si>
    <t>Offtake Friction Thrust Resistance per meter</t>
  </si>
  <si>
    <t>Pipe Thrust Minus Straight Main Thrust Reisitance</t>
  </si>
  <si>
    <t>DN of larger pipe</t>
  </si>
  <si>
    <t>DN of smaller pipe</t>
  </si>
  <si>
    <t>PE Pipe DN (OD) of larger main</t>
  </si>
  <si>
    <t>PE Pipe DN (OD) of smaller main</t>
  </si>
  <si>
    <r>
      <t>Tapers</t>
    </r>
    <r>
      <rPr>
        <b/>
        <sz val="10"/>
        <rFont val="Cambria"/>
        <family val="1"/>
        <scheme val="major"/>
      </rPr>
      <t xml:space="preserve"> </t>
    </r>
  </si>
  <si>
    <t>Assumes both straight main and offtake main are DI</t>
  </si>
  <si>
    <t>Assumes both straight main and offtake main are PE</t>
  </si>
  <si>
    <t>Assumes both larger and smaller mains are DI &amp; taper is valved</t>
  </si>
  <si>
    <t>Assumes both larger and smaller mains are PE &amp; taper is valved</t>
  </si>
  <si>
    <t>Large Main</t>
  </si>
  <si>
    <t>Hydraulic Thrust</t>
  </si>
  <si>
    <t>Thrust resistance per m</t>
  </si>
  <si>
    <t>Small Main</t>
  </si>
  <si>
    <t>Length of smaller main to restrain</t>
  </si>
  <si>
    <t>Length of bigger main to restrain</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</si>
</sst>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 #,##0.00_-;_-* &quot;-&quot;??_-;_-@_-"/>
    <numFmt numFmtId="164" formatCode="0.00000"/>
    <numFmt numFmtId="165" formatCode="#,##0_ ;[Red]\-#,##0\ "/>
    <numFmt numFmtId="166" formatCode="0.000"/>
    <numFmt numFmtId="167" formatCode="0.0000"/>
    <numFmt numFmtId="168" formatCode="0.0"/>
    <numFmt numFmtId="169" formatCode="0.00\ \m\²"/>
    <numFmt numFmtId="170" formatCode="0\ \(\S\D\R\1\1\)"/>
    <numFmt numFmtId="171" formatCode="0\ \d\e\g\ \C"/>
  </numFmts>
  <fonts count="58" x14ac:knownFonts="1">
    <font>
      <sz val="11"/>
      <color theme="1"/>
      <name val="Calibri"/>
      <family val="2"/>
      <scheme val="minor"/>
    </font>
    <font>
      <b/>
      <sz val="15"/>
      <color theme="3"/>
      <name val="Calibri"/>
      <family val="2"/>
      <scheme val="minor"/>
    </font>
    <font>
      <sz val="11"/>
      <color rgb="FF3F3F76"/>
      <name val="Calibri"/>
      <family val="2"/>
      <scheme val="minor"/>
    </font>
    <font>
      <b/>
      <sz val="11"/>
      <color rgb="FFFA7D00"/>
      <name val="Calibri"/>
      <family val="2"/>
      <scheme val="minor"/>
    </font>
    <font>
      <b/>
      <sz val="10"/>
      <name val="Calibri"/>
      <family val="2"/>
      <scheme val="minor"/>
    </font>
    <font>
      <sz val="18"/>
      <color theme="1"/>
      <name val="Calibri"/>
      <family val="2"/>
      <scheme val="minor"/>
    </font>
    <font>
      <sz val="18"/>
      <color theme="4" tint="-0.249977111117893"/>
      <name val="Calibri"/>
      <family val="2"/>
      <scheme val="minor"/>
    </font>
    <font>
      <b/>
      <sz val="11"/>
      <name val="Calibri"/>
      <family val="2"/>
      <scheme val="minor"/>
    </font>
    <font>
      <b/>
      <sz val="11"/>
      <color theme="1"/>
      <name val="Calibri"/>
      <family val="2"/>
      <scheme val="minor"/>
    </font>
    <font>
      <sz val="11"/>
      <color theme="1"/>
      <name val="Calibri"/>
      <family val="2"/>
    </font>
    <font>
      <sz val="12"/>
      <name val="Calibri"/>
      <family val="2"/>
      <scheme val="minor"/>
    </font>
    <font>
      <sz val="11"/>
      <name val="Calibri"/>
      <family val="2"/>
      <scheme val="minor"/>
    </font>
    <font>
      <b/>
      <sz val="11"/>
      <color theme="1"/>
      <name val="Calibri"/>
      <family val="2"/>
    </font>
    <font>
      <b/>
      <u/>
      <sz val="14"/>
      <color theme="1"/>
      <name val="Calibri"/>
      <family val="2"/>
      <scheme val="minor"/>
    </font>
    <font>
      <u/>
      <sz val="10"/>
      <color theme="1"/>
      <name val="Calibri"/>
      <family val="2"/>
      <scheme val="minor"/>
    </font>
    <font>
      <sz val="9"/>
      <color theme="1"/>
      <name val="Calibri"/>
      <family val="2"/>
      <scheme val="minor"/>
    </font>
    <font>
      <sz val="10"/>
      <color theme="1"/>
      <name val="Calibri"/>
      <family val="2"/>
      <scheme val="minor"/>
    </font>
    <font>
      <b/>
      <sz val="10"/>
      <color theme="1"/>
      <name val="Calibri"/>
      <family val="2"/>
      <scheme val="minor"/>
    </font>
    <font>
      <b/>
      <sz val="10"/>
      <color theme="1"/>
      <name val="Arial"/>
      <family val="2"/>
    </font>
    <font>
      <b/>
      <u/>
      <sz val="12"/>
      <color theme="1"/>
      <name val="Cambria"/>
      <family val="1"/>
      <scheme val="major"/>
    </font>
    <font>
      <b/>
      <u/>
      <sz val="12"/>
      <color theme="1"/>
      <name val="Calibri"/>
      <family val="2"/>
      <scheme val="minor"/>
    </font>
    <font>
      <sz val="10"/>
      <name val="Arial"/>
      <family val="2"/>
    </font>
    <font>
      <sz val="10"/>
      <name val="Arial Narrow"/>
      <family val="2"/>
    </font>
    <font>
      <sz val="12"/>
      <name val="Arial Narrow"/>
      <family val="2"/>
    </font>
    <font>
      <sz val="10"/>
      <name val="Calibri"/>
      <family val="2"/>
      <scheme val="minor"/>
    </font>
    <font>
      <u/>
      <sz val="10"/>
      <name val="Calibri"/>
      <family val="2"/>
      <scheme val="minor"/>
    </font>
    <font>
      <u/>
      <sz val="11"/>
      <color theme="10"/>
      <name val="Calibri"/>
      <family val="2"/>
    </font>
    <font>
      <u/>
      <sz val="11"/>
      <color rgb="FF0000FF"/>
      <name val="Calibri"/>
      <family val="2"/>
    </font>
    <font>
      <sz val="8"/>
      <color theme="1"/>
      <name val="Calibri"/>
      <family val="2"/>
      <scheme val="minor"/>
    </font>
    <font>
      <sz val="11"/>
      <color theme="1"/>
      <name val="Calibri"/>
      <family val="2"/>
      <scheme val="minor"/>
    </font>
    <font>
      <u/>
      <sz val="11"/>
      <name val="Calibri"/>
      <family val="2"/>
      <scheme val="minor"/>
    </font>
    <font>
      <sz val="9"/>
      <name val="Calibri"/>
      <family val="2"/>
      <scheme val="minor"/>
    </font>
    <font>
      <b/>
      <i/>
      <sz val="9"/>
      <name val="Calibri"/>
      <family val="2"/>
      <scheme val="minor"/>
    </font>
    <font>
      <b/>
      <sz val="9"/>
      <name val="Calibri"/>
      <family val="2"/>
      <scheme val="minor"/>
    </font>
    <font>
      <vertAlign val="superscript"/>
      <sz val="11"/>
      <color theme="1"/>
      <name val="Calibri"/>
      <family val="2"/>
      <scheme val="minor"/>
    </font>
    <font>
      <vertAlign val="superscript"/>
      <sz val="9"/>
      <name val="Calibri"/>
      <family val="2"/>
      <scheme val="minor"/>
    </font>
    <font>
      <b/>
      <i/>
      <sz val="11"/>
      <name val="Calibri"/>
      <family val="2"/>
      <scheme val="minor"/>
    </font>
    <font>
      <b/>
      <u/>
      <sz val="10"/>
      <name val="Cambria"/>
      <family val="1"/>
      <scheme val="major"/>
    </font>
    <font>
      <sz val="11"/>
      <name val="Arial Narrow"/>
      <family val="2"/>
    </font>
    <font>
      <b/>
      <sz val="11"/>
      <color theme="3"/>
      <name val="Calibri"/>
      <family val="2"/>
      <scheme val="minor"/>
    </font>
    <font>
      <b/>
      <u/>
      <sz val="10"/>
      <name val="Calibri"/>
      <family val="2"/>
    </font>
    <font>
      <b/>
      <sz val="11"/>
      <color rgb="FF0E1824"/>
      <name val="Calibri"/>
      <family val="2"/>
      <scheme val="minor"/>
    </font>
    <font>
      <sz val="11"/>
      <color rgb="FF0E1824"/>
      <name val="Calibri"/>
      <family val="2"/>
      <scheme val="minor"/>
    </font>
    <font>
      <b/>
      <sz val="11"/>
      <color rgb="FF1F497D"/>
      <name val="Calibri"/>
      <family val="2"/>
      <scheme val="minor"/>
    </font>
    <font>
      <b/>
      <sz val="11"/>
      <color theme="1"/>
      <name val="GreekC"/>
    </font>
    <font>
      <sz val="11"/>
      <color rgb="FF1F497D"/>
      <name val="Calibri"/>
      <family val="2"/>
      <scheme val="minor"/>
    </font>
    <font>
      <vertAlign val="subscript"/>
      <sz val="11"/>
      <color theme="1"/>
      <name val="Calibri"/>
      <family val="2"/>
      <scheme val="minor"/>
    </font>
    <font>
      <vertAlign val="superscript"/>
      <sz val="11"/>
      <name val="Calibri"/>
      <family val="2"/>
      <scheme val="minor"/>
    </font>
    <font>
      <vertAlign val="subscript"/>
      <sz val="11"/>
      <name val="Calibri"/>
      <family val="2"/>
      <scheme val="minor"/>
    </font>
    <font>
      <vertAlign val="superscript"/>
      <sz val="9"/>
      <color theme="1"/>
      <name val="Calibri"/>
      <family val="2"/>
      <scheme val="minor"/>
    </font>
    <font>
      <b/>
      <sz val="11"/>
      <color rgb="FFFF0000"/>
      <name val="Calibri"/>
      <family val="2"/>
      <scheme val="minor"/>
    </font>
    <font>
      <b/>
      <u/>
      <sz val="11"/>
      <color theme="1"/>
      <name val="Calibri"/>
      <family val="2"/>
      <scheme val="minor"/>
    </font>
    <font>
      <sz val="11"/>
      <color theme="1"/>
      <name val="Symbol"/>
      <family val="1"/>
      <charset val="2"/>
    </font>
    <font>
      <u/>
      <sz val="11"/>
      <color theme="1"/>
      <name val="Calibri"/>
      <family val="2"/>
      <scheme val="minor"/>
    </font>
    <font>
      <b/>
      <sz val="12"/>
      <color rgb="FFC00000"/>
      <name val="Calibri"/>
      <family val="2"/>
      <scheme val="minor"/>
    </font>
    <font>
      <sz val="10"/>
      <color rgb="FFFF0000"/>
      <name val="Calibri"/>
      <family val="2"/>
      <scheme val="minor"/>
    </font>
    <font>
      <b/>
      <sz val="10"/>
      <name val="Cambria"/>
      <family val="1"/>
      <scheme val="major"/>
    </font>
    <font>
      <b/>
      <sz val="10"/>
      <color theme="1" tint="0.14999847407452621"/>
      <name val="Cambria"/>
      <family val="1"/>
      <scheme val="major"/>
    </font>
  </fonts>
  <fills count="21">
    <fill>
      <patternFill patternType="none"/>
    </fill>
    <fill>
      <patternFill patternType="gray125"/>
    </fill>
    <fill>
      <patternFill patternType="solid">
        <fgColor rgb="FFFFCC99"/>
      </patternFill>
    </fill>
    <fill>
      <patternFill patternType="solid">
        <fgColor rgb="FFF2F2F2"/>
      </patternFill>
    </fill>
    <fill>
      <patternFill patternType="solid">
        <fgColor theme="0"/>
        <bgColor indexed="64"/>
      </patternFill>
    </fill>
    <fill>
      <patternFill patternType="solid">
        <fgColor indexed="22"/>
        <bgColor indexed="64"/>
      </patternFill>
    </fill>
    <fill>
      <patternFill patternType="solid">
        <fgColor rgb="FFFF7575"/>
        <bgColor indexed="64"/>
      </patternFill>
    </fill>
    <fill>
      <patternFill patternType="solid">
        <fgColor rgb="FFEEEEEE"/>
        <bgColor indexed="64"/>
      </patternFill>
    </fill>
    <fill>
      <patternFill patternType="solid">
        <fgColor indexed="42"/>
        <bgColor indexed="64"/>
      </patternFill>
    </fill>
    <fill>
      <patternFill patternType="lightUp">
        <fgColor theme="0"/>
        <bgColor rgb="FFE7EDF5"/>
      </patternFill>
    </fill>
    <fill>
      <patternFill patternType="darkUp">
        <fgColor theme="9" tint="0.59996337778862885"/>
        <bgColor theme="9" tint="0.39994506668294322"/>
      </patternFill>
    </fill>
    <fill>
      <patternFill patternType="lightDown">
        <fgColor theme="6" tint="0.59996337778862885"/>
        <bgColor theme="6" tint="0.79998168889431442"/>
      </patternFill>
    </fill>
    <fill>
      <patternFill patternType="lightTrellis">
        <fgColor rgb="FFD3D3D3"/>
        <bgColor rgb="FFEEEEEE"/>
      </patternFill>
    </fill>
    <fill>
      <patternFill patternType="lightUp">
        <fgColor rgb="FFFFFFFF"/>
        <bgColor rgb="FFE7EDF5"/>
      </patternFill>
    </fill>
    <fill>
      <patternFill patternType="lightUp">
        <fgColor rgb="FFFCD5B4"/>
        <bgColor rgb="FFFAC090"/>
      </patternFill>
    </fill>
    <fill>
      <patternFill patternType="lightDown">
        <fgColor rgb="FFD7E476"/>
        <bgColor rgb="FFEAF1DD"/>
      </patternFill>
    </fill>
    <fill>
      <patternFill patternType="solid">
        <fgColor rgb="FFFFFFFF"/>
        <bgColor indexed="64"/>
      </patternFill>
    </fill>
    <fill>
      <patternFill patternType="lightUp">
        <fgColor theme="0"/>
        <bgColor theme="0"/>
      </patternFill>
    </fill>
    <fill>
      <patternFill patternType="solid">
        <fgColor theme="0"/>
        <bgColor rgb="FFFCD5B4"/>
      </patternFill>
    </fill>
    <fill>
      <patternFill patternType="lightUp">
        <fgColor rgb="FFFFFFFF"/>
        <bgColor theme="0"/>
      </patternFill>
    </fill>
    <fill>
      <patternFill patternType="lightUp">
        <fgColor rgb="FFFFFFFF"/>
        <bgColor rgb="FFFFFF00"/>
      </patternFill>
    </fill>
  </fills>
  <borders count="32">
    <border>
      <left/>
      <right/>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style="thin">
        <color rgb="FF7F7F7F"/>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ck">
        <color theme="4"/>
      </top>
      <bottom/>
      <diagonal/>
    </border>
    <border>
      <left style="thin">
        <color theme="0" tint="-0.34998626667073579"/>
      </left>
      <right/>
      <top style="thin">
        <color theme="0" tint="-0.34998626667073579"/>
      </top>
      <bottom style="thin">
        <color theme="0" tint="-0.34998626667073579"/>
      </bottom>
      <diagonal/>
    </border>
    <border>
      <left style="hair">
        <color theme="3"/>
      </left>
      <right style="hair">
        <color theme="3"/>
      </right>
      <top style="hair">
        <color theme="3"/>
      </top>
      <bottom style="hair">
        <color theme="3"/>
      </bottom>
      <diagonal/>
    </border>
    <border>
      <left style="hair">
        <color rgb="FF1F497D"/>
      </left>
      <right style="hair">
        <color rgb="FF1F497D"/>
      </right>
      <top style="hair">
        <color rgb="FF1F497D"/>
      </top>
      <bottom style="hair">
        <color rgb="FF1F497D"/>
      </bottom>
      <diagonal/>
    </border>
    <border>
      <left style="thin">
        <color rgb="FF7F7F7F"/>
      </left>
      <right/>
      <top style="thin">
        <color rgb="FF7F7F7F"/>
      </top>
      <bottom style="thin">
        <color rgb="FF7F7F7F"/>
      </bottom>
      <diagonal/>
    </border>
    <border>
      <left/>
      <right/>
      <top style="thin">
        <color rgb="FF7F7F7F"/>
      </top>
      <bottom style="thin">
        <color rgb="FF7F7F7F"/>
      </bottom>
      <diagonal/>
    </border>
    <border>
      <left/>
      <right style="thin">
        <color rgb="FF7F7F7F"/>
      </right>
      <top style="thin">
        <color rgb="FF7F7F7F"/>
      </top>
      <bottom style="thin">
        <color rgb="FF7F7F7F"/>
      </bottom>
      <diagonal/>
    </border>
    <border>
      <left/>
      <right/>
      <top/>
      <bottom style="thin">
        <color indexed="64"/>
      </bottom>
      <diagonal/>
    </border>
    <border>
      <left style="thin">
        <color indexed="64"/>
      </left>
      <right/>
      <top/>
      <bottom/>
      <diagonal/>
    </border>
    <border>
      <left/>
      <right style="thin">
        <color indexed="64"/>
      </right>
      <top/>
      <bottom/>
      <diagonal/>
    </border>
    <border>
      <left style="medium">
        <color theme="0" tint="-0.34998626667073579"/>
      </left>
      <right style="medium">
        <color theme="0" tint="-0.34998626667073579"/>
      </right>
      <top style="medium">
        <color theme="0" tint="-0.34998626667073579"/>
      </top>
      <bottom/>
      <diagonal/>
    </border>
    <border>
      <left style="medium">
        <color theme="0" tint="-0.34998626667073579"/>
      </left>
      <right style="medium">
        <color theme="0" tint="-0.34998626667073579"/>
      </right>
      <top/>
      <bottom/>
      <diagonal/>
    </border>
    <border>
      <left style="medium">
        <color theme="0" tint="-0.34998626667073579"/>
      </left>
      <right style="medium">
        <color theme="0" tint="-0.34998626667073579"/>
      </right>
      <top/>
      <bottom style="medium">
        <color theme="0" tint="-0.34998626667073579"/>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2">
    <xf numFmtId="0" fontId="0" fillId="0" borderId="0"/>
    <xf numFmtId="0" fontId="1" fillId="0" borderId="1" applyNumberFormat="0" applyFill="0" applyAlignment="0" applyProtection="0"/>
    <xf numFmtId="0" fontId="8" fillId="13" borderId="2" applyNumberFormat="0" applyAlignment="0" applyProtection="0"/>
    <xf numFmtId="0" fontId="41" fillId="14" borderId="2" applyNumberFormat="0" applyAlignment="0" applyProtection="0"/>
    <xf numFmtId="0" fontId="43" fillId="15" borderId="19" applyNumberFormat="0" applyAlignment="0" applyProtection="0"/>
    <xf numFmtId="0" fontId="21" fillId="0" borderId="0"/>
    <xf numFmtId="0" fontId="23" fillId="0" borderId="0"/>
    <xf numFmtId="43" fontId="21" fillId="0" borderId="0" applyFont="0" applyFill="0" applyBorder="0" applyAlignment="0" applyProtection="0"/>
    <xf numFmtId="0" fontId="26"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3" fillId="3" borderId="2" applyAlignment="0" applyProtection="0"/>
    <xf numFmtId="0" fontId="2" fillId="2" borderId="2" applyAlignment="0" applyProtection="0"/>
  </cellStyleXfs>
  <cellXfs count="386">
    <xf numFmtId="0" fontId="0" fillId="0" borderId="0" xfId="0"/>
    <xf numFmtId="0" fontId="0" fillId="4" borderId="0" xfId="0" applyFill="1"/>
    <xf numFmtId="0" fontId="5" fillId="4" borderId="0" xfId="0" applyFont="1" applyFill="1" applyAlignment="1">
      <alignment vertical="top"/>
    </xf>
    <xf numFmtId="0" fontId="0" fillId="0" borderId="0" xfId="0" applyFill="1" applyBorder="1"/>
    <xf numFmtId="0" fontId="0" fillId="0" borderId="0" xfId="0" applyAlignment="1">
      <alignment horizontal="center"/>
    </xf>
    <xf numFmtId="0" fontId="0" fillId="0" borderId="7" xfId="0" applyBorder="1"/>
    <xf numFmtId="0" fontId="0" fillId="0" borderId="8" xfId="0" applyBorder="1"/>
    <xf numFmtId="0" fontId="0" fillId="0" borderId="9" xfId="0" applyFill="1" applyBorder="1"/>
    <xf numFmtId="0" fontId="0" fillId="0" borderId="10" xfId="0" applyBorder="1"/>
    <xf numFmtId="0" fontId="0" fillId="0" borderId="0" xfId="0" applyBorder="1"/>
    <xf numFmtId="0" fontId="0" fillId="0" borderId="3" xfId="0" applyBorder="1"/>
    <xf numFmtId="0" fontId="0" fillId="0" borderId="9" xfId="0" applyBorder="1"/>
    <xf numFmtId="0" fontId="8" fillId="0" borderId="12" xfId="0" applyFont="1" applyFill="1" applyBorder="1"/>
    <xf numFmtId="0" fontId="0" fillId="0" borderId="11" xfId="0" applyBorder="1" applyAlignment="1">
      <alignment horizontal="center"/>
    </xf>
    <xf numFmtId="0" fontId="8" fillId="0" borderId="13" xfId="0" applyFont="1" applyBorder="1"/>
    <xf numFmtId="0" fontId="13" fillId="0" borderId="0" xfId="0" applyFont="1"/>
    <xf numFmtId="0" fontId="0" fillId="4" borderId="0" xfId="0" applyFill="1" applyBorder="1"/>
    <xf numFmtId="0" fontId="0" fillId="4" borderId="3" xfId="0" applyFill="1" applyBorder="1"/>
    <xf numFmtId="0" fontId="0" fillId="4" borderId="9" xfId="0" applyFill="1" applyBorder="1"/>
    <xf numFmtId="0" fontId="0" fillId="4" borderId="10" xfId="0" applyFill="1" applyBorder="1"/>
    <xf numFmtId="0" fontId="0" fillId="4" borderId="7" xfId="0" applyFill="1" applyBorder="1"/>
    <xf numFmtId="0" fontId="0" fillId="4" borderId="13" xfId="0" applyFill="1" applyBorder="1"/>
    <xf numFmtId="0" fontId="0" fillId="4" borderId="12" xfId="0" applyFill="1" applyBorder="1"/>
    <xf numFmtId="0" fontId="0" fillId="4" borderId="11" xfId="0" applyFill="1" applyBorder="1"/>
    <xf numFmtId="0" fontId="1" fillId="4" borderId="1" xfId="1" applyFill="1" applyBorder="1" applyAlignment="1"/>
    <xf numFmtId="0" fontId="0" fillId="4" borderId="8" xfId="0" applyFill="1" applyBorder="1"/>
    <xf numFmtId="0" fontId="26" fillId="4" borderId="1" xfId="8" applyFill="1" applyBorder="1" applyAlignment="1" applyProtection="1">
      <alignment horizontal="right" vertical="center"/>
    </xf>
    <xf numFmtId="0" fontId="0" fillId="7" borderId="0" xfId="0" applyFill="1"/>
    <xf numFmtId="0" fontId="5" fillId="7" borderId="0" xfId="0" applyFont="1" applyFill="1" applyAlignment="1">
      <alignment vertical="top"/>
    </xf>
    <xf numFmtId="0" fontId="28" fillId="7" borderId="0" xfId="0" applyFont="1" applyFill="1" applyAlignment="1">
      <alignment horizontal="right"/>
    </xf>
    <xf numFmtId="0" fontId="28" fillId="4" borderId="0" xfId="0" applyFont="1" applyFill="1" applyBorder="1" applyAlignment="1">
      <alignment horizontal="right" vertical="top"/>
    </xf>
    <xf numFmtId="0" fontId="0" fillId="0" borderId="3" xfId="0" applyFill="1" applyBorder="1"/>
    <xf numFmtId="0" fontId="8" fillId="0" borderId="13" xfId="0" applyFont="1" applyFill="1" applyBorder="1"/>
    <xf numFmtId="0" fontId="8" fillId="0" borderId="11" xfId="0" applyFont="1" applyFill="1" applyBorder="1"/>
    <xf numFmtId="0" fontId="0" fillId="0" borderId="10" xfId="0" applyFill="1" applyBorder="1"/>
    <xf numFmtId="0" fontId="0" fillId="0" borderId="7" xfId="0" applyFill="1" applyBorder="1"/>
    <xf numFmtId="0" fontId="43" fillId="15" borderId="19" xfId="4"/>
    <xf numFmtId="0" fontId="1" fillId="4" borderId="12" xfId="1" applyFill="1" applyBorder="1" applyAlignment="1"/>
    <xf numFmtId="0" fontId="26" fillId="4" borderId="12" xfId="8" applyFill="1" applyBorder="1" applyAlignment="1" applyProtection="1">
      <alignment horizontal="right" vertical="center"/>
    </xf>
    <xf numFmtId="0" fontId="8" fillId="13" borderId="2" xfId="2"/>
    <xf numFmtId="0" fontId="41" fillId="14" borderId="2" xfId="3"/>
    <xf numFmtId="0" fontId="8" fillId="0" borderId="0" xfId="0" applyFont="1" applyFill="1" applyBorder="1"/>
    <xf numFmtId="168" fontId="0" fillId="0" borderId="0" xfId="0" applyNumberFormat="1" applyFill="1" applyBorder="1"/>
    <xf numFmtId="0" fontId="0" fillId="4" borderId="0" xfId="0" applyFill="1" applyAlignment="1">
      <alignment horizontal="right"/>
    </xf>
    <xf numFmtId="168" fontId="0" fillId="4" borderId="0" xfId="0" applyNumberFormat="1" applyFill="1" applyAlignment="1">
      <alignment horizontal="left" indent="1"/>
    </xf>
    <xf numFmtId="0" fontId="0" fillId="4" borderId="0" xfId="0" applyFill="1" applyAlignment="1">
      <alignment vertical="top"/>
    </xf>
    <xf numFmtId="168" fontId="0" fillId="4" borderId="0" xfId="0" applyNumberFormat="1" applyFill="1" applyBorder="1" applyAlignment="1">
      <alignment horizontal="left" indent="1"/>
    </xf>
    <xf numFmtId="0" fontId="0" fillId="0" borderId="12" xfId="0" applyBorder="1"/>
    <xf numFmtId="2" fontId="0" fillId="0" borderId="0" xfId="0" applyNumberFormat="1"/>
    <xf numFmtId="0" fontId="0" fillId="4" borderId="0" xfId="0" applyFill="1" applyBorder="1" applyProtection="1">
      <protection hidden="1"/>
    </xf>
    <xf numFmtId="0" fontId="0" fillId="0" borderId="0" xfId="0" applyProtection="1">
      <protection hidden="1"/>
    </xf>
    <xf numFmtId="0" fontId="0" fillId="7" borderId="0" xfId="0" applyFill="1" applyProtection="1">
      <protection hidden="1"/>
    </xf>
    <xf numFmtId="0" fontId="4" fillId="4" borderId="3" xfId="0" applyFont="1" applyFill="1" applyBorder="1" applyAlignment="1" applyProtection="1">
      <alignment horizontal="right"/>
      <protection hidden="1"/>
    </xf>
    <xf numFmtId="0" fontId="0" fillId="4" borderId="10" xfId="0" applyFill="1" applyBorder="1" applyProtection="1">
      <protection hidden="1"/>
    </xf>
    <xf numFmtId="0" fontId="29" fillId="13" borderId="2" xfId="2" applyFont="1" applyProtection="1">
      <protection locked="0" hidden="1"/>
    </xf>
    <xf numFmtId="0" fontId="0" fillId="4" borderId="3" xfId="0" applyFont="1" applyFill="1" applyBorder="1" applyAlignment="1" applyProtection="1">
      <alignment horizontal="right"/>
      <protection hidden="1"/>
    </xf>
    <xf numFmtId="0" fontId="4" fillId="4" borderId="3" xfId="0" applyFont="1" applyFill="1" applyBorder="1" applyAlignment="1" applyProtection="1">
      <alignment horizontal="right" wrapText="1"/>
      <protection hidden="1"/>
    </xf>
    <xf numFmtId="0" fontId="0" fillId="4" borderId="9" xfId="0" applyFont="1" applyFill="1" applyBorder="1" applyProtection="1">
      <protection hidden="1"/>
    </xf>
    <xf numFmtId="0" fontId="0" fillId="4" borderId="8" xfId="0" applyFill="1" applyBorder="1" applyProtection="1">
      <protection hidden="1"/>
    </xf>
    <xf numFmtId="0" fontId="0" fillId="4" borderId="7" xfId="0" applyFill="1" applyBorder="1" applyProtection="1">
      <protection hidden="1"/>
    </xf>
    <xf numFmtId="0" fontId="0" fillId="4" borderId="9" xfId="0" applyFill="1" applyBorder="1" applyProtection="1">
      <protection hidden="1"/>
    </xf>
    <xf numFmtId="0" fontId="0" fillId="0" borderId="8" xfId="0" applyFill="1" applyBorder="1" applyProtection="1">
      <protection hidden="1"/>
    </xf>
    <xf numFmtId="0" fontId="8" fillId="4" borderId="3" xfId="0" applyFont="1" applyFill="1" applyBorder="1" applyAlignment="1" applyProtection="1">
      <alignment horizontal="right" vertical="center"/>
      <protection hidden="1"/>
    </xf>
    <xf numFmtId="0" fontId="0" fillId="4" borderId="0" xfId="0" applyFill="1" applyBorder="1" applyAlignment="1" applyProtection="1">
      <alignment horizontal="center" vertical="center"/>
      <protection hidden="1"/>
    </xf>
    <xf numFmtId="0" fontId="0" fillId="4" borderId="0" xfId="0" applyFont="1" applyFill="1" applyBorder="1" applyAlignment="1" applyProtection="1">
      <alignment vertical="center"/>
      <protection hidden="1"/>
    </xf>
    <xf numFmtId="0" fontId="0" fillId="0" borderId="0" xfId="0" applyFill="1" applyBorder="1" applyAlignment="1" applyProtection="1">
      <alignment vertical="center"/>
      <protection hidden="1"/>
    </xf>
    <xf numFmtId="0" fontId="0" fillId="4" borderId="0" xfId="0" applyFill="1" applyBorder="1" applyAlignment="1" applyProtection="1">
      <alignment vertical="center"/>
      <protection hidden="1"/>
    </xf>
    <xf numFmtId="0" fontId="0" fillId="4" borderId="3" xfId="0" applyFill="1" applyBorder="1" applyAlignment="1" applyProtection="1">
      <alignment horizontal="right" vertical="center"/>
      <protection hidden="1"/>
    </xf>
    <xf numFmtId="0" fontId="0" fillId="4" borderId="0" xfId="0" applyFill="1" applyBorder="1" applyAlignment="1" applyProtection="1">
      <alignment horizontal="right" vertical="center"/>
      <protection hidden="1"/>
    </xf>
    <xf numFmtId="0" fontId="0" fillId="4" borderId="0" xfId="0" applyFill="1" applyBorder="1" applyAlignment="1" applyProtection="1">
      <alignment horizontal="left" vertical="center"/>
      <protection hidden="1"/>
    </xf>
    <xf numFmtId="0" fontId="0" fillId="0" borderId="3" xfId="0" applyFill="1" applyBorder="1" applyProtection="1">
      <protection hidden="1"/>
    </xf>
    <xf numFmtId="0" fontId="41" fillId="14" borderId="2" xfId="3" applyAlignment="1" applyProtection="1">
      <alignment horizontal="center"/>
      <protection hidden="1"/>
    </xf>
    <xf numFmtId="0" fontId="0" fillId="4" borderId="0" xfId="0" applyFill="1" applyBorder="1" applyAlignment="1" applyProtection="1">
      <alignment horizontal="center"/>
      <protection hidden="1"/>
    </xf>
    <xf numFmtId="0" fontId="10" fillId="4" borderId="0" xfId="0" applyFont="1" applyFill="1" applyBorder="1" applyProtection="1">
      <protection hidden="1"/>
    </xf>
    <xf numFmtId="0" fontId="11" fillId="4" borderId="3" xfId="0" applyFont="1" applyFill="1" applyBorder="1" applyAlignment="1" applyProtection="1">
      <alignment horizontal="right"/>
      <protection hidden="1"/>
    </xf>
    <xf numFmtId="0" fontId="7" fillId="4" borderId="0" xfId="0" applyFont="1" applyFill="1" applyBorder="1" applyAlignment="1" applyProtection="1">
      <alignment horizontal="right"/>
      <protection hidden="1"/>
    </xf>
    <xf numFmtId="0" fontId="9" fillId="4" borderId="0" xfId="0" applyFont="1" applyFill="1" applyBorder="1" applyAlignment="1" applyProtection="1">
      <alignment horizontal="left"/>
      <protection hidden="1"/>
    </xf>
    <xf numFmtId="0" fontId="0" fillId="4" borderId="3" xfId="0" applyFill="1" applyBorder="1" applyProtection="1">
      <protection hidden="1"/>
    </xf>
    <xf numFmtId="0" fontId="0" fillId="0" borderId="0" xfId="0" applyFont="1" applyProtection="1">
      <protection hidden="1"/>
    </xf>
    <xf numFmtId="0" fontId="6" fillId="4" borderId="0" xfId="0" applyFont="1" applyFill="1" applyAlignment="1" applyProtection="1">
      <alignment vertical="top"/>
      <protection hidden="1"/>
    </xf>
    <xf numFmtId="0" fontId="0" fillId="4" borderId="13" xfId="0" applyFont="1" applyFill="1" applyBorder="1" applyProtection="1">
      <protection hidden="1"/>
    </xf>
    <xf numFmtId="0" fontId="0" fillId="4" borderId="12" xfId="0" applyFont="1" applyFill="1" applyBorder="1" applyProtection="1">
      <protection hidden="1"/>
    </xf>
    <xf numFmtId="0" fontId="30" fillId="4" borderId="12" xfId="0" applyFont="1" applyFill="1" applyBorder="1" applyAlignment="1" applyProtection="1">
      <protection hidden="1"/>
    </xf>
    <xf numFmtId="164" fontId="11" fillId="4" borderId="11" xfId="0" applyNumberFormat="1" applyFont="1" applyFill="1" applyBorder="1" applyProtection="1">
      <protection hidden="1"/>
    </xf>
    <xf numFmtId="0" fontId="0" fillId="4" borderId="3" xfId="0" applyFont="1" applyFill="1" applyBorder="1" applyProtection="1">
      <protection hidden="1"/>
    </xf>
    <xf numFmtId="164" fontId="11" fillId="4" borderId="10" xfId="0" applyNumberFormat="1" applyFont="1" applyFill="1" applyBorder="1" applyProtection="1">
      <protection hidden="1"/>
    </xf>
    <xf numFmtId="0" fontId="0" fillId="4" borderId="0" xfId="0" applyFont="1" applyFill="1" applyBorder="1" applyProtection="1">
      <protection hidden="1"/>
    </xf>
    <xf numFmtId="0" fontId="30" fillId="4" borderId="0" xfId="0" applyFont="1" applyFill="1" applyBorder="1" applyAlignment="1" applyProtection="1">
      <protection hidden="1"/>
    </xf>
    <xf numFmtId="0" fontId="15" fillId="4" borderId="0" xfId="0" applyFont="1" applyFill="1" applyBorder="1" applyProtection="1">
      <protection hidden="1"/>
    </xf>
    <xf numFmtId="0" fontId="15" fillId="4" borderId="0" xfId="0" applyFont="1" applyFill="1" applyBorder="1" applyAlignment="1" applyProtection="1">
      <alignment horizontal="right"/>
      <protection hidden="1"/>
    </xf>
    <xf numFmtId="0" fontId="29" fillId="9" borderId="2" xfId="2" applyFont="1" applyFill="1" applyAlignment="1" applyProtection="1">
      <alignment horizontal="center"/>
      <protection locked="0" hidden="1"/>
    </xf>
    <xf numFmtId="0" fontId="31" fillId="4" borderId="0" xfId="0" applyFont="1" applyFill="1" applyBorder="1" applyAlignment="1" applyProtection="1">
      <alignment horizontal="center"/>
      <protection hidden="1"/>
    </xf>
    <xf numFmtId="168" fontId="29" fillId="9" borderId="2" xfId="2" applyNumberFormat="1" applyFont="1" applyFill="1" applyAlignment="1" applyProtection="1">
      <alignment horizontal="center"/>
      <protection locked="0" hidden="1"/>
    </xf>
    <xf numFmtId="0" fontId="31" fillId="4" borderId="0" xfId="0" applyFont="1" applyFill="1" applyBorder="1" applyProtection="1">
      <protection hidden="1"/>
    </xf>
    <xf numFmtId="164" fontId="31" fillId="4" borderId="10" xfId="0" applyNumberFormat="1" applyFont="1" applyFill="1" applyBorder="1" applyProtection="1">
      <protection hidden="1"/>
    </xf>
    <xf numFmtId="0" fontId="31" fillId="4" borderId="0" xfId="0" applyFont="1" applyFill="1" applyBorder="1" applyAlignment="1" applyProtection="1">
      <protection hidden="1"/>
    </xf>
    <xf numFmtId="0" fontId="32" fillId="4" borderId="0" xfId="0" applyFont="1" applyFill="1" applyBorder="1" applyAlignment="1" applyProtection="1">
      <protection hidden="1"/>
    </xf>
    <xf numFmtId="0" fontId="31" fillId="4" borderId="10" xfId="0" applyFont="1" applyFill="1" applyBorder="1" applyAlignment="1" applyProtection="1">
      <protection hidden="1"/>
    </xf>
    <xf numFmtId="0" fontId="39" fillId="11" borderId="18" xfId="4" applyFont="1" applyFill="1" applyBorder="1" applyAlignment="1" applyProtection="1">
      <alignment horizontal="center"/>
      <protection locked="0" hidden="1"/>
    </xf>
    <xf numFmtId="0" fontId="33" fillId="4" borderId="0" xfId="0" applyFont="1" applyFill="1" applyBorder="1" applyAlignment="1" applyProtection="1">
      <alignment horizontal="center"/>
      <protection hidden="1"/>
    </xf>
    <xf numFmtId="0" fontId="0" fillId="4" borderId="8" xfId="0" applyFont="1" applyFill="1" applyBorder="1" applyProtection="1">
      <protection hidden="1"/>
    </xf>
    <xf numFmtId="0" fontId="33" fillId="4" borderId="8" xfId="0" applyFont="1" applyFill="1" applyBorder="1" applyAlignment="1" applyProtection="1">
      <alignment horizontal="center"/>
      <protection hidden="1"/>
    </xf>
    <xf numFmtId="0" fontId="31" fillId="4" borderId="8" xfId="0" applyFont="1" applyFill="1" applyBorder="1" applyProtection="1">
      <protection hidden="1"/>
    </xf>
    <xf numFmtId="164" fontId="31" fillId="4" borderId="7" xfId="0" applyNumberFormat="1" applyFont="1" applyFill="1" applyBorder="1" applyProtection="1">
      <protection hidden="1"/>
    </xf>
    <xf numFmtId="0" fontId="37" fillId="4" borderId="12" xfId="0" applyFont="1" applyFill="1" applyBorder="1" applyAlignment="1" applyProtection="1">
      <protection hidden="1"/>
    </xf>
    <xf numFmtId="0" fontId="33" fillId="4" borderId="12" xfId="0" applyFont="1" applyFill="1" applyBorder="1" applyAlignment="1" applyProtection="1">
      <protection hidden="1"/>
    </xf>
    <xf numFmtId="0" fontId="31" fillId="4" borderId="12" xfId="0" applyFont="1" applyFill="1" applyBorder="1" applyProtection="1">
      <protection hidden="1"/>
    </xf>
    <xf numFmtId="0" fontId="31" fillId="4" borderId="12" xfId="0" applyFont="1" applyFill="1" applyBorder="1" applyAlignment="1" applyProtection="1">
      <protection hidden="1"/>
    </xf>
    <xf numFmtId="164" fontId="31" fillId="4" borderId="11" xfId="0" applyNumberFormat="1" applyFont="1" applyFill="1" applyBorder="1" applyProtection="1">
      <protection hidden="1"/>
    </xf>
    <xf numFmtId="0" fontId="31" fillId="4" borderId="0" xfId="0" applyFont="1" applyFill="1" applyBorder="1" applyAlignment="1" applyProtection="1">
      <alignment vertical="top"/>
      <protection hidden="1"/>
    </xf>
    <xf numFmtId="0" fontId="33" fillId="5" borderId="4" xfId="0" applyFont="1" applyFill="1" applyBorder="1" applyAlignment="1" applyProtection="1">
      <alignment horizontal="center" vertical="center" wrapText="1"/>
      <protection locked="0" hidden="1"/>
    </xf>
    <xf numFmtId="0" fontId="33" fillId="5" borderId="4" xfId="0" applyFont="1" applyFill="1" applyBorder="1" applyAlignment="1" applyProtection="1">
      <alignment horizontal="center" wrapText="1"/>
      <protection locked="0" hidden="1"/>
    </xf>
    <xf numFmtId="0" fontId="33" fillId="5" borderId="4" xfId="0" applyFont="1" applyFill="1" applyBorder="1" applyAlignment="1" applyProtection="1">
      <alignment horizontal="center" vertical="center" wrapText="1"/>
      <protection hidden="1"/>
    </xf>
    <xf numFmtId="164" fontId="33" fillId="4" borderId="0" xfId="0" applyNumberFormat="1" applyFont="1" applyFill="1" applyBorder="1" applyAlignment="1" applyProtection="1">
      <alignment horizontal="center" vertical="center" wrapText="1"/>
      <protection hidden="1"/>
    </xf>
    <xf numFmtId="2" fontId="42" fillId="10" borderId="2" xfId="3" applyNumberFormat="1" applyFont="1" applyFill="1" applyAlignment="1" applyProtection="1">
      <alignment horizontal="center"/>
      <protection hidden="1"/>
    </xf>
    <xf numFmtId="2" fontId="41" fillId="10" borderId="2" xfId="3" applyNumberFormat="1" applyFill="1" applyAlignment="1" applyProtection="1">
      <alignment horizontal="center"/>
      <protection hidden="1"/>
    </xf>
    <xf numFmtId="164" fontId="33" fillId="4" borderId="0" xfId="0" applyNumberFormat="1" applyFont="1" applyFill="1" applyBorder="1" applyAlignment="1" applyProtection="1">
      <alignment horizontal="center"/>
      <protection hidden="1"/>
    </xf>
    <xf numFmtId="164" fontId="31" fillId="4" borderId="0" xfId="0" applyNumberFormat="1" applyFont="1" applyFill="1" applyBorder="1" applyProtection="1">
      <protection hidden="1"/>
    </xf>
    <xf numFmtId="0" fontId="31" fillId="4" borderId="8" xfId="0" applyFont="1" applyFill="1" applyBorder="1" applyAlignment="1" applyProtection="1">
      <alignment horizontal="center"/>
      <protection hidden="1"/>
    </xf>
    <xf numFmtId="164" fontId="31" fillId="4" borderId="8" xfId="0" applyNumberFormat="1" applyFont="1" applyFill="1" applyBorder="1" applyProtection="1">
      <protection hidden="1"/>
    </xf>
    <xf numFmtId="164" fontId="31" fillId="4" borderId="12" xfId="0" applyNumberFormat="1" applyFont="1" applyFill="1" applyBorder="1" applyProtection="1">
      <protection hidden="1"/>
    </xf>
    <xf numFmtId="0" fontId="31" fillId="4" borderId="0" xfId="0" applyFont="1" applyFill="1" applyBorder="1" applyAlignment="1" applyProtection="1">
      <alignment vertical="center"/>
      <protection hidden="1"/>
    </xf>
    <xf numFmtId="0" fontId="29" fillId="13" borderId="2" xfId="2" applyFont="1" applyAlignment="1" applyProtection="1">
      <alignment horizontal="center"/>
      <protection locked="0" hidden="1"/>
    </xf>
    <xf numFmtId="168" fontId="42" fillId="14" borderId="2" xfId="3" applyNumberFormat="1" applyFont="1" applyAlignment="1" applyProtection="1">
      <alignment horizontal="center"/>
      <protection hidden="1"/>
    </xf>
    <xf numFmtId="0" fontId="42" fillId="14" borderId="2" xfId="3" applyFont="1" applyAlignment="1" applyProtection="1">
      <alignment horizontal="center"/>
      <protection hidden="1"/>
    </xf>
    <xf numFmtId="2" fontId="42" fillId="14" borderId="2" xfId="3" applyNumberFormat="1" applyFont="1" applyAlignment="1" applyProtection="1">
      <alignment horizontal="center"/>
      <protection hidden="1"/>
    </xf>
    <xf numFmtId="2" fontId="41" fillId="14" borderId="2" xfId="3" applyNumberFormat="1" applyAlignment="1" applyProtection="1">
      <alignment horizontal="center"/>
      <protection hidden="1"/>
    </xf>
    <xf numFmtId="2" fontId="41" fillId="14" borderId="2" xfId="3" applyNumberFormat="1" applyBorder="1" applyAlignment="1" applyProtection="1">
      <alignment horizontal="center"/>
      <protection hidden="1"/>
    </xf>
    <xf numFmtId="0" fontId="31" fillId="4" borderId="10" xfId="0" applyFont="1" applyFill="1" applyBorder="1" applyProtection="1">
      <protection hidden="1"/>
    </xf>
    <xf numFmtId="165" fontId="31" fillId="4" borderId="0" xfId="0" applyNumberFormat="1" applyFont="1" applyFill="1" applyBorder="1" applyAlignment="1" applyProtection="1">
      <alignment horizontal="center"/>
      <protection hidden="1"/>
    </xf>
    <xf numFmtId="0" fontId="31" fillId="4" borderId="8" xfId="0" applyFont="1" applyFill="1" applyBorder="1" applyAlignment="1" applyProtection="1">
      <alignment vertical="top"/>
      <protection hidden="1"/>
    </xf>
    <xf numFmtId="0" fontId="11" fillId="4" borderId="8" xfId="0" applyFont="1" applyFill="1" applyBorder="1" applyProtection="1">
      <protection hidden="1"/>
    </xf>
    <xf numFmtId="164" fontId="11" fillId="4" borderId="7" xfId="0" applyNumberFormat="1" applyFont="1" applyFill="1" applyBorder="1" applyProtection="1">
      <protection hidden="1"/>
    </xf>
    <xf numFmtId="0" fontId="0" fillId="12" borderId="0" xfId="0" applyFont="1" applyFill="1" applyProtection="1">
      <protection hidden="1"/>
    </xf>
    <xf numFmtId="0" fontId="36" fillId="0" borderId="0" xfId="0" applyFont="1" applyProtection="1">
      <protection hidden="1"/>
    </xf>
    <xf numFmtId="0" fontId="11" fillId="0" borderId="0" xfId="0" applyFont="1" applyProtection="1">
      <protection hidden="1"/>
    </xf>
    <xf numFmtId="164" fontId="11" fillId="0" borderId="0" xfId="0" applyNumberFormat="1" applyFont="1" applyProtection="1">
      <protection hidden="1"/>
    </xf>
    <xf numFmtId="0" fontId="11" fillId="0" borderId="0" xfId="0" applyFont="1" applyProtection="1">
      <protection locked="0" hidden="1"/>
    </xf>
    <xf numFmtId="164" fontId="11" fillId="0" borderId="0" xfId="0" applyNumberFormat="1" applyFont="1" applyProtection="1">
      <protection locked="0" hidden="1"/>
    </xf>
    <xf numFmtId="0" fontId="15" fillId="4" borderId="13" xfId="0" applyFont="1" applyFill="1" applyBorder="1" applyProtection="1">
      <protection hidden="1"/>
    </xf>
    <xf numFmtId="0" fontId="15" fillId="4" borderId="12" xfId="0" applyFont="1" applyFill="1" applyBorder="1" applyProtection="1">
      <protection hidden="1"/>
    </xf>
    <xf numFmtId="0" fontId="15" fillId="4" borderId="11" xfId="0" applyFont="1" applyFill="1" applyBorder="1" applyProtection="1">
      <protection hidden="1"/>
    </xf>
    <xf numFmtId="0" fontId="15" fillId="7" borderId="0" xfId="0" applyFont="1" applyFill="1" applyProtection="1">
      <protection hidden="1"/>
    </xf>
    <xf numFmtId="0" fontId="15" fillId="4" borderId="3" xfId="0" applyFont="1" applyFill="1" applyBorder="1" applyProtection="1">
      <protection hidden="1"/>
    </xf>
    <xf numFmtId="0" fontId="16" fillId="4" borderId="0" xfId="0" applyFont="1" applyFill="1" applyBorder="1" applyProtection="1">
      <protection hidden="1"/>
    </xf>
    <xf numFmtId="0" fontId="15" fillId="4" borderId="10" xfId="0" applyFont="1" applyFill="1" applyBorder="1" applyProtection="1">
      <protection hidden="1"/>
    </xf>
    <xf numFmtId="0" fontId="17" fillId="4" borderId="0" xfId="0" applyFont="1" applyFill="1" applyBorder="1" applyProtection="1">
      <protection hidden="1"/>
    </xf>
    <xf numFmtId="0" fontId="16" fillId="13" borderId="2" xfId="2" applyFont="1" applyAlignment="1" applyProtection="1">
      <alignment horizontal="center"/>
      <protection locked="0" hidden="1"/>
    </xf>
    <xf numFmtId="0" fontId="16" fillId="4" borderId="0" xfId="0" applyFont="1" applyFill="1" applyBorder="1" applyAlignment="1" applyProtection="1">
      <alignment horizontal="right"/>
      <protection hidden="1"/>
    </xf>
    <xf numFmtId="167" fontId="18" fillId="4" borderId="14" xfId="0" applyNumberFormat="1" applyFont="1" applyFill="1" applyBorder="1" applyAlignment="1" applyProtection="1">
      <alignment horizontal="center"/>
      <protection hidden="1"/>
    </xf>
    <xf numFmtId="166" fontId="17" fillId="6" borderId="6" xfId="0" applyNumberFormat="1" applyFont="1" applyFill="1" applyBorder="1" applyAlignment="1" applyProtection="1">
      <alignment horizontal="center"/>
      <protection hidden="1"/>
    </xf>
    <xf numFmtId="0" fontId="15" fillId="4" borderId="0" xfId="0" applyFont="1" applyFill="1" applyBorder="1" applyAlignment="1" applyProtection="1">
      <alignment vertical="center" wrapText="1"/>
      <protection hidden="1"/>
    </xf>
    <xf numFmtId="0" fontId="23" fillId="0" borderId="0" xfId="6" applyProtection="1">
      <protection hidden="1"/>
    </xf>
    <xf numFmtId="0" fontId="22" fillId="0" borderId="0" xfId="6" applyFont="1" applyProtection="1">
      <protection hidden="1"/>
    </xf>
    <xf numFmtId="0" fontId="37" fillId="4" borderId="13" xfId="0" applyFont="1" applyFill="1" applyBorder="1" applyAlignment="1" applyProtection="1">
      <alignment horizontal="left" vertical="center" indent="1"/>
      <protection hidden="1"/>
    </xf>
    <xf numFmtId="0" fontId="22" fillId="0" borderId="12" xfId="6" applyFont="1" applyBorder="1" applyProtection="1">
      <protection hidden="1"/>
    </xf>
    <xf numFmtId="0" fontId="37" fillId="4" borderId="12" xfId="0" applyFont="1" applyFill="1" applyBorder="1" applyAlignment="1" applyProtection="1">
      <alignment vertical="center"/>
      <protection hidden="1"/>
    </xf>
    <xf numFmtId="0" fontId="37" fillId="4" borderId="11" xfId="0" applyFont="1" applyFill="1" applyBorder="1" applyAlignment="1" applyProtection="1">
      <alignment vertical="center"/>
      <protection hidden="1"/>
    </xf>
    <xf numFmtId="0" fontId="11" fillId="4" borderId="3" xfId="6" applyFont="1" applyFill="1" applyBorder="1" applyProtection="1">
      <protection hidden="1"/>
    </xf>
    <xf numFmtId="0" fontId="11" fillId="4" borderId="0" xfId="6" applyFont="1" applyFill="1" applyBorder="1" applyProtection="1">
      <protection hidden="1"/>
    </xf>
    <xf numFmtId="0" fontId="11" fillId="4" borderId="0" xfId="6" applyFont="1" applyFill="1" applyBorder="1" applyAlignment="1" applyProtection="1">
      <protection hidden="1"/>
    </xf>
    <xf numFmtId="0" fontId="11" fillId="4" borderId="0" xfId="6" applyFont="1" applyFill="1" applyBorder="1" applyAlignment="1" applyProtection="1">
      <alignment horizontal="right"/>
      <protection hidden="1"/>
    </xf>
    <xf numFmtId="0" fontId="2" fillId="13" borderId="2" xfId="2" applyFont="1" applyBorder="1" applyProtection="1">
      <protection locked="0" hidden="1"/>
    </xf>
    <xf numFmtId="0" fontId="22" fillId="4" borderId="10" xfId="6" applyFont="1" applyFill="1" applyBorder="1" applyProtection="1">
      <protection hidden="1"/>
    </xf>
    <xf numFmtId="0" fontId="29" fillId="4" borderId="0" xfId="0" applyFont="1" applyFill="1" applyBorder="1" applyAlignment="1" applyProtection="1">
      <protection hidden="1"/>
    </xf>
    <xf numFmtId="0" fontId="11" fillId="4" borderId="9" xfId="6" applyFont="1" applyFill="1" applyBorder="1" applyProtection="1">
      <protection hidden="1"/>
    </xf>
    <xf numFmtId="0" fontId="11" fillId="4" borderId="8" xfId="6" applyFont="1" applyFill="1" applyBorder="1" applyProtection="1">
      <protection hidden="1"/>
    </xf>
    <xf numFmtId="0" fontId="22" fillId="4" borderId="7" xfId="6" applyFont="1" applyFill="1" applyBorder="1" applyProtection="1">
      <protection hidden="1"/>
    </xf>
    <xf numFmtId="0" fontId="0" fillId="4" borderId="0" xfId="0" applyFill="1" applyBorder="1" applyAlignment="1" applyProtection="1">
      <alignment horizontal="right"/>
      <protection hidden="1"/>
    </xf>
    <xf numFmtId="0" fontId="43" fillId="15" borderId="19" xfId="4" applyAlignment="1" applyProtection="1">
      <alignment vertical="center"/>
      <protection locked="0" hidden="1"/>
    </xf>
    <xf numFmtId="0" fontId="29" fillId="4" borderId="0" xfId="0" applyFont="1" applyFill="1" applyBorder="1" applyAlignment="1" applyProtection="1">
      <alignment horizontal="right"/>
      <protection hidden="1"/>
    </xf>
    <xf numFmtId="0" fontId="43" fillId="15" borderId="19" xfId="4" applyProtection="1">
      <protection locked="0" hidden="1"/>
    </xf>
    <xf numFmtId="0" fontId="24" fillId="4" borderId="10" xfId="6" applyFont="1" applyFill="1" applyBorder="1" applyProtection="1">
      <protection hidden="1"/>
    </xf>
    <xf numFmtId="0" fontId="0" fillId="4" borderId="0" xfId="0" applyFill="1" applyBorder="1" applyAlignment="1" applyProtection="1">
      <alignment horizontal="left"/>
      <protection hidden="1"/>
    </xf>
    <xf numFmtId="0" fontId="29" fillId="4" borderId="8" xfId="0" applyFont="1" applyFill="1" applyBorder="1" applyAlignment="1" applyProtection="1">
      <alignment horizontal="right"/>
      <protection hidden="1"/>
    </xf>
    <xf numFmtId="0" fontId="29" fillId="4" borderId="8" xfId="0" applyFont="1" applyFill="1" applyBorder="1" applyProtection="1">
      <protection hidden="1"/>
    </xf>
    <xf numFmtId="0" fontId="22" fillId="4" borderId="0" xfId="6" applyFont="1" applyFill="1" applyBorder="1" applyProtection="1">
      <protection hidden="1"/>
    </xf>
    <xf numFmtId="0" fontId="38" fillId="4" borderId="8" xfId="6" applyFont="1" applyFill="1" applyBorder="1" applyProtection="1">
      <protection hidden="1"/>
    </xf>
    <xf numFmtId="0" fontId="40" fillId="4" borderId="12" xfId="0" applyFont="1" applyFill="1" applyBorder="1" applyAlignment="1" applyProtection="1">
      <alignment vertical="center"/>
      <protection hidden="1"/>
    </xf>
    <xf numFmtId="0" fontId="24" fillId="4" borderId="0" xfId="6" applyFont="1" applyFill="1" applyBorder="1" applyProtection="1">
      <protection hidden="1"/>
    </xf>
    <xf numFmtId="0" fontId="11" fillId="4" borderId="10" xfId="6" applyFont="1" applyFill="1" applyBorder="1" applyProtection="1">
      <protection hidden="1"/>
    </xf>
    <xf numFmtId="171" fontId="24" fillId="8" borderId="5" xfId="6" applyNumberFormat="1" applyFont="1" applyFill="1" applyBorder="1" applyAlignment="1" applyProtection="1">
      <alignment horizontal="center" vertical="center"/>
      <protection hidden="1"/>
    </xf>
    <xf numFmtId="2" fontId="22" fillId="4" borderId="0" xfId="6" applyNumberFormat="1" applyFont="1" applyFill="1" applyBorder="1" applyAlignment="1" applyProtection="1">
      <alignment horizontal="center" vertical="center"/>
      <protection hidden="1"/>
    </xf>
    <xf numFmtId="0" fontId="11" fillId="4" borderId="10" xfId="6" applyFont="1" applyFill="1" applyBorder="1" applyAlignment="1" applyProtection="1">
      <alignment horizontal="center" vertical="center"/>
      <protection hidden="1"/>
    </xf>
    <xf numFmtId="169" fontId="22" fillId="0" borderId="5" xfId="6" applyNumberFormat="1" applyFont="1" applyBorder="1" applyAlignment="1" applyProtection="1">
      <alignment horizontal="center" vertical="center"/>
      <protection hidden="1"/>
    </xf>
    <xf numFmtId="0" fontId="22" fillId="4" borderId="8" xfId="6" applyFont="1" applyFill="1" applyBorder="1" applyProtection="1">
      <protection hidden="1"/>
    </xf>
    <xf numFmtId="0" fontId="21" fillId="0" borderId="0" xfId="5" applyProtection="1">
      <protection hidden="1"/>
    </xf>
    <xf numFmtId="0" fontId="24" fillId="0" borderId="0" xfId="5" applyFont="1" applyProtection="1">
      <protection hidden="1"/>
    </xf>
    <xf numFmtId="0" fontId="24" fillId="4" borderId="12" xfId="5" applyFont="1" applyFill="1" applyBorder="1" applyProtection="1">
      <protection hidden="1"/>
    </xf>
    <xf numFmtId="0" fontId="24" fillId="4" borderId="12" xfId="5" applyFont="1" applyFill="1" applyBorder="1" applyAlignment="1" applyProtection="1">
      <alignment horizontal="right"/>
      <protection hidden="1"/>
    </xf>
    <xf numFmtId="0" fontId="24" fillId="4" borderId="11" xfId="5" applyFont="1" applyFill="1" applyBorder="1" applyProtection="1">
      <protection hidden="1"/>
    </xf>
    <xf numFmtId="0" fontId="24" fillId="4" borderId="3" xfId="5" applyFont="1" applyFill="1" applyBorder="1" applyProtection="1">
      <protection hidden="1"/>
    </xf>
    <xf numFmtId="0" fontId="24" fillId="4" borderId="0" xfId="5" applyFont="1" applyFill="1" applyProtection="1">
      <protection hidden="1"/>
    </xf>
    <xf numFmtId="0" fontId="24" fillId="4" borderId="0" xfId="5" applyFont="1" applyFill="1" applyBorder="1" applyAlignment="1" applyProtection="1">
      <alignment horizontal="right"/>
      <protection hidden="1"/>
    </xf>
    <xf numFmtId="0" fontId="24" fillId="4" borderId="0" xfId="5" applyFont="1" applyFill="1" applyBorder="1" applyProtection="1">
      <protection hidden="1"/>
    </xf>
    <xf numFmtId="0" fontId="24" fillId="4" borderId="10" xfId="5" applyFont="1" applyFill="1" applyBorder="1" applyProtection="1">
      <protection hidden="1"/>
    </xf>
    <xf numFmtId="0" fontId="24" fillId="0" borderId="0" xfId="5" applyFont="1" applyFill="1" applyBorder="1" applyProtection="1">
      <protection hidden="1"/>
    </xf>
    <xf numFmtId="0" fontId="24" fillId="0" borderId="0" xfId="5" applyFont="1" applyBorder="1" applyProtection="1">
      <protection hidden="1"/>
    </xf>
    <xf numFmtId="1" fontId="24" fillId="0" borderId="0" xfId="5" applyNumberFormat="1" applyFont="1" applyBorder="1" applyProtection="1">
      <protection hidden="1"/>
    </xf>
    <xf numFmtId="0" fontId="24" fillId="4" borderId="9" xfId="5" applyFont="1" applyFill="1" applyBorder="1" applyProtection="1">
      <protection hidden="1"/>
    </xf>
    <xf numFmtId="0" fontId="24" fillId="4" borderId="8" xfId="5" applyFont="1" applyFill="1" applyBorder="1" applyProtection="1">
      <protection hidden="1"/>
    </xf>
    <xf numFmtId="0" fontId="24" fillId="4" borderId="8" xfId="5" applyFont="1" applyFill="1" applyBorder="1" applyAlignment="1" applyProtection="1">
      <alignment horizontal="right"/>
      <protection hidden="1"/>
    </xf>
    <xf numFmtId="2" fontId="24" fillId="4" borderId="8" xfId="5" applyNumberFormat="1" applyFont="1" applyFill="1" applyBorder="1" applyProtection="1">
      <protection hidden="1"/>
    </xf>
    <xf numFmtId="0" fontId="24" fillId="4" borderId="7" xfId="5" applyFont="1" applyFill="1" applyBorder="1" applyProtection="1">
      <protection hidden="1"/>
    </xf>
    <xf numFmtId="2" fontId="24" fillId="4" borderId="12" xfId="5" applyNumberFormat="1" applyFont="1" applyFill="1" applyBorder="1" applyProtection="1">
      <protection hidden="1"/>
    </xf>
    <xf numFmtId="166" fontId="24" fillId="0" borderId="0" xfId="5" applyNumberFormat="1" applyFont="1" applyFill="1" applyBorder="1" applyProtection="1">
      <protection hidden="1"/>
    </xf>
    <xf numFmtId="2" fontId="24" fillId="0" borderId="0" xfId="5" applyNumberFormat="1" applyFont="1" applyBorder="1" applyProtection="1">
      <protection hidden="1"/>
    </xf>
    <xf numFmtId="0" fontId="25" fillId="4" borderId="0" xfId="5" applyFont="1" applyFill="1" applyBorder="1" applyProtection="1">
      <protection hidden="1"/>
    </xf>
    <xf numFmtId="2" fontId="24" fillId="4" borderId="0" xfId="5" applyNumberFormat="1" applyFont="1" applyFill="1" applyBorder="1" applyProtection="1">
      <protection hidden="1"/>
    </xf>
    <xf numFmtId="168" fontId="41" fillId="14" borderId="2" xfId="3" applyNumberFormat="1" applyProtection="1">
      <protection hidden="1"/>
    </xf>
    <xf numFmtId="168" fontId="24" fillId="0" borderId="0" xfId="5" applyNumberFormat="1" applyFont="1" applyFill="1" applyBorder="1" applyProtection="1">
      <protection hidden="1"/>
    </xf>
    <xf numFmtId="168" fontId="24" fillId="0" borderId="0" xfId="5" applyNumberFormat="1" applyFont="1" applyBorder="1" applyProtection="1">
      <protection hidden="1"/>
    </xf>
    <xf numFmtId="2" fontId="24" fillId="0" borderId="0" xfId="5" applyNumberFormat="1" applyFont="1" applyFill="1" applyBorder="1" applyProtection="1">
      <protection hidden="1"/>
    </xf>
    <xf numFmtId="168" fontId="24" fillId="4" borderId="0" xfId="5" applyNumberFormat="1" applyFont="1" applyFill="1" applyBorder="1" applyProtection="1">
      <protection hidden="1"/>
    </xf>
    <xf numFmtId="0" fontId="24" fillId="0" borderId="0" xfId="5" applyFont="1" applyFill="1" applyProtection="1">
      <protection hidden="1"/>
    </xf>
    <xf numFmtId="167" fontId="24" fillId="0" borderId="0" xfId="5" applyNumberFormat="1" applyFont="1" applyBorder="1" applyProtection="1">
      <protection hidden="1"/>
    </xf>
    <xf numFmtId="0" fontId="24" fillId="0" borderId="8" xfId="5" applyFont="1" applyBorder="1" applyProtection="1">
      <protection hidden="1"/>
    </xf>
    <xf numFmtId="0" fontId="4" fillId="4" borderId="0" xfId="5" applyFont="1" applyFill="1" applyBorder="1" applyProtection="1">
      <protection hidden="1"/>
    </xf>
    <xf numFmtId="0" fontId="24" fillId="4" borderId="0" xfId="5" applyFont="1" applyFill="1" applyBorder="1" applyAlignment="1" applyProtection="1">
      <alignment horizontal="right" vertical="center" wrapText="1"/>
      <protection hidden="1"/>
    </xf>
    <xf numFmtId="2" fontId="43" fillId="15" borderId="19" xfId="4" applyNumberFormat="1" applyProtection="1">
      <protection locked="0" hidden="1"/>
    </xf>
    <xf numFmtId="0" fontId="24" fillId="0" borderId="8" xfId="5" applyFont="1" applyBorder="1" applyAlignment="1" applyProtection="1">
      <alignment horizontal="right"/>
      <protection hidden="1"/>
    </xf>
    <xf numFmtId="0" fontId="24" fillId="0" borderId="0" xfId="5" applyFont="1" applyAlignment="1" applyProtection="1">
      <alignment horizontal="right"/>
      <protection hidden="1"/>
    </xf>
    <xf numFmtId="0" fontId="6" fillId="4" borderId="0" xfId="0" applyFont="1" applyFill="1" applyAlignment="1" applyProtection="1">
      <alignment horizontal="left" vertical="top"/>
      <protection hidden="1"/>
    </xf>
    <xf numFmtId="0" fontId="6" fillId="4" borderId="25" xfId="0" applyFont="1" applyFill="1" applyBorder="1" applyAlignment="1" applyProtection="1">
      <alignment vertical="top"/>
      <protection hidden="1"/>
    </xf>
    <xf numFmtId="0" fontId="6" fillId="4" borderId="0" xfId="0" applyFont="1" applyFill="1" applyAlignment="1" applyProtection="1">
      <alignment horizontal="left" vertical="top" indent="1"/>
      <protection hidden="1"/>
    </xf>
    <xf numFmtId="0" fontId="37" fillId="4" borderId="3" xfId="0" applyFont="1" applyFill="1" applyBorder="1" applyAlignment="1" applyProtection="1">
      <alignment horizontal="left" vertical="center" indent="1"/>
      <protection hidden="1"/>
    </xf>
    <xf numFmtId="0" fontId="37" fillId="4" borderId="0" xfId="0" applyFont="1" applyFill="1" applyBorder="1" applyAlignment="1" applyProtection="1">
      <alignment vertical="center"/>
      <protection hidden="1"/>
    </xf>
    <xf numFmtId="0" fontId="37" fillId="4" borderId="10" xfId="0" applyFont="1" applyFill="1" applyBorder="1" applyAlignment="1" applyProtection="1">
      <alignment vertical="center"/>
      <protection hidden="1"/>
    </xf>
    <xf numFmtId="1" fontId="42" fillId="10" borderId="2" xfId="3" applyNumberFormat="1" applyFont="1" applyFill="1" applyAlignment="1" applyProtection="1">
      <alignment horizontal="center"/>
      <protection hidden="1"/>
    </xf>
    <xf numFmtId="1" fontId="42" fillId="14" borderId="2" xfId="3" applyNumberFormat="1" applyFont="1" applyBorder="1" applyAlignment="1" applyProtection="1">
      <alignment vertical="center"/>
      <protection hidden="1"/>
    </xf>
    <xf numFmtId="1" fontId="42" fillId="0" borderId="0" xfId="3" applyNumberFormat="1" applyFont="1" applyFill="1" applyBorder="1" applyAlignment="1" applyProtection="1">
      <alignment vertical="center"/>
      <protection hidden="1"/>
    </xf>
    <xf numFmtId="0" fontId="11" fillId="0" borderId="3" xfId="6" applyFont="1" applyFill="1" applyBorder="1" applyProtection="1">
      <protection hidden="1"/>
    </xf>
    <xf numFmtId="0" fontId="29" fillId="0" borderId="0" xfId="0" applyFont="1" applyFill="1" applyBorder="1" applyAlignment="1" applyProtection="1">
      <alignment horizontal="right"/>
      <protection hidden="1"/>
    </xf>
    <xf numFmtId="0" fontId="0" fillId="0" borderId="0" xfId="0" applyFill="1" applyBorder="1" applyAlignment="1" applyProtection="1">
      <alignment horizontal="right"/>
      <protection hidden="1"/>
    </xf>
    <xf numFmtId="0" fontId="11" fillId="0" borderId="0" xfId="6" applyFont="1" applyFill="1" applyBorder="1" applyProtection="1">
      <protection hidden="1"/>
    </xf>
    <xf numFmtId="0" fontId="22" fillId="0" borderId="10" xfId="6" applyFont="1" applyFill="1" applyBorder="1" applyProtection="1">
      <protection hidden="1"/>
    </xf>
    <xf numFmtId="0" fontId="45" fillId="15" borderId="19" xfId="4" applyFont="1" applyAlignment="1" applyProtection="1">
      <alignment vertical="center"/>
      <protection hidden="1"/>
    </xf>
    <xf numFmtId="168" fontId="42" fillId="14" borderId="2" xfId="3" applyNumberFormat="1" applyFont="1" applyBorder="1" applyAlignment="1" applyProtection="1">
      <alignment vertical="center"/>
      <protection hidden="1"/>
    </xf>
    <xf numFmtId="0" fontId="6" fillId="4" borderId="0" xfId="0" applyFont="1" applyFill="1" applyAlignment="1" applyProtection="1">
      <alignment vertical="center"/>
      <protection hidden="1"/>
    </xf>
    <xf numFmtId="0" fontId="0" fillId="7" borderId="0" xfId="0" applyFill="1" applyAlignment="1" applyProtection="1">
      <alignment vertical="center"/>
      <protection hidden="1"/>
    </xf>
    <xf numFmtId="0" fontId="2" fillId="13" borderId="2" xfId="2" applyFont="1" applyBorder="1" applyAlignment="1" applyProtection="1">
      <alignment vertical="center"/>
      <protection locked="0" hidden="1"/>
    </xf>
    <xf numFmtId="170" fontId="2" fillId="13" borderId="2" xfId="2" applyNumberFormat="1" applyFont="1" applyBorder="1" applyAlignment="1" applyProtection="1">
      <alignment vertical="center"/>
      <protection locked="0" hidden="1"/>
    </xf>
    <xf numFmtId="0" fontId="11" fillId="4" borderId="8" xfId="6" applyFont="1" applyFill="1" applyBorder="1" applyAlignment="1" applyProtection="1">
      <alignment vertical="center"/>
      <protection hidden="1"/>
    </xf>
    <xf numFmtId="0" fontId="0" fillId="0" borderId="0" xfId="0" applyFont="1" applyBorder="1" applyAlignment="1" applyProtection="1">
      <alignment vertical="center"/>
      <protection hidden="1"/>
    </xf>
    <xf numFmtId="0" fontId="45" fillId="15" borderId="19" xfId="4" applyFont="1" applyAlignment="1" applyProtection="1">
      <alignment vertical="center"/>
      <protection locked="0" hidden="1"/>
    </xf>
    <xf numFmtId="0" fontId="11" fillId="0" borderId="8" xfId="6" applyFont="1" applyBorder="1" applyAlignment="1" applyProtection="1">
      <alignment vertical="center"/>
      <protection hidden="1"/>
    </xf>
    <xf numFmtId="1" fontId="41" fillId="14" borderId="2" xfId="3" applyNumberFormat="1" applyFont="1" applyBorder="1" applyAlignment="1" applyProtection="1">
      <alignment vertical="center"/>
      <protection hidden="1"/>
    </xf>
    <xf numFmtId="2" fontId="42" fillId="14" borderId="2" xfId="3" applyNumberFormat="1" applyFont="1" applyBorder="1" applyAlignment="1" applyProtection="1">
      <alignment vertical="center"/>
      <protection hidden="1"/>
    </xf>
    <xf numFmtId="2" fontId="0" fillId="0" borderId="0" xfId="0" applyNumberFormat="1" applyFont="1" applyBorder="1" applyAlignment="1" applyProtection="1">
      <alignment vertical="center"/>
      <protection hidden="1"/>
    </xf>
    <xf numFmtId="1" fontId="0" fillId="0" borderId="0" xfId="0" applyNumberFormat="1" applyFont="1" applyBorder="1" applyAlignment="1" applyProtection="1">
      <alignment vertical="center"/>
      <protection hidden="1"/>
    </xf>
    <xf numFmtId="0" fontId="0" fillId="0" borderId="0" xfId="0" applyBorder="1" applyAlignment="1" applyProtection="1">
      <alignment vertical="center"/>
      <protection hidden="1"/>
    </xf>
    <xf numFmtId="166" fontId="42" fillId="14" borderId="2" xfId="3" applyNumberFormat="1" applyFont="1" applyBorder="1" applyAlignment="1" applyProtection="1">
      <alignment vertical="center"/>
      <protection hidden="1"/>
    </xf>
    <xf numFmtId="0" fontId="11" fillId="4" borderId="0" xfId="6" applyFont="1" applyFill="1" applyBorder="1" applyAlignment="1" applyProtection="1">
      <alignment vertical="center"/>
      <protection hidden="1"/>
    </xf>
    <xf numFmtId="0" fontId="38" fillId="4" borderId="8" xfId="6" applyFont="1" applyFill="1" applyBorder="1" applyAlignment="1" applyProtection="1">
      <alignment vertical="center"/>
      <protection hidden="1"/>
    </xf>
    <xf numFmtId="0" fontId="22" fillId="4" borderId="0" xfId="6" applyFont="1" applyFill="1" applyBorder="1" applyAlignment="1" applyProtection="1">
      <alignment vertical="center"/>
      <protection hidden="1"/>
    </xf>
    <xf numFmtId="0" fontId="22" fillId="0" borderId="0" xfId="6" applyFont="1" applyAlignment="1" applyProtection="1">
      <alignment vertical="center"/>
      <protection hidden="1"/>
    </xf>
    <xf numFmtId="0" fontId="11" fillId="0" borderId="0" xfId="6" applyFont="1" applyFill="1" applyBorder="1" applyAlignment="1" applyProtection="1">
      <alignment vertical="center"/>
      <protection hidden="1"/>
    </xf>
    <xf numFmtId="0" fontId="4" fillId="4" borderId="0" xfId="0" applyFont="1" applyFill="1" applyBorder="1" applyAlignment="1" applyProtection="1">
      <alignment horizontal="center" vertical="center" wrapText="1"/>
      <protection locked="0" hidden="1"/>
    </xf>
    <xf numFmtId="0" fontId="16" fillId="4" borderId="0" xfId="0" applyFont="1" applyFill="1" applyBorder="1" applyAlignment="1" applyProtection="1">
      <alignment horizontal="left"/>
      <protection hidden="1"/>
    </xf>
    <xf numFmtId="0" fontId="17" fillId="0" borderId="0" xfId="0" applyFont="1" applyFill="1" applyBorder="1" applyProtection="1">
      <protection hidden="1"/>
    </xf>
    <xf numFmtId="166" fontId="17" fillId="0" borderId="0" xfId="0" applyNumberFormat="1" applyFont="1" applyFill="1" applyBorder="1" applyAlignment="1" applyProtection="1">
      <alignment horizontal="center"/>
      <protection hidden="1"/>
    </xf>
    <xf numFmtId="1" fontId="42" fillId="14" borderId="2" xfId="3" applyNumberFormat="1" applyFont="1" applyAlignment="1" applyProtection="1">
      <alignment horizontal="center"/>
      <protection hidden="1"/>
    </xf>
    <xf numFmtId="0" fontId="16" fillId="13" borderId="5" xfId="2" applyFont="1" applyBorder="1" applyAlignment="1" applyProtection="1">
      <alignment horizontal="center"/>
      <protection locked="0" hidden="1"/>
    </xf>
    <xf numFmtId="0" fontId="24" fillId="13" borderId="2" xfId="2" applyFont="1" applyAlignment="1" applyProtection="1">
      <alignment horizontal="center"/>
      <protection locked="0" hidden="1"/>
    </xf>
    <xf numFmtId="0" fontId="8" fillId="0" borderId="12" xfId="0" applyFont="1" applyBorder="1"/>
    <xf numFmtId="1" fontId="41" fillId="10" borderId="2" xfId="3" applyNumberFormat="1" applyFill="1" applyAlignment="1" applyProtection="1">
      <alignment horizontal="center"/>
      <protection hidden="1"/>
    </xf>
    <xf numFmtId="1" fontId="29" fillId="9" borderId="2" xfId="2" applyNumberFormat="1" applyFont="1" applyFill="1" applyAlignment="1" applyProtection="1">
      <alignment horizontal="center"/>
      <protection locked="0" hidden="1"/>
    </xf>
    <xf numFmtId="0" fontId="16" fillId="4" borderId="0" xfId="0" applyFont="1" applyFill="1" applyBorder="1" applyAlignment="1" applyProtection="1">
      <alignment vertical="top"/>
      <protection hidden="1"/>
    </xf>
    <xf numFmtId="0" fontId="8" fillId="0" borderId="26" xfId="0" applyFont="1" applyBorder="1"/>
    <xf numFmtId="0" fontId="0" fillId="0" borderId="27" xfId="0" applyBorder="1"/>
    <xf numFmtId="0" fontId="0" fillId="0" borderId="28" xfId="0" applyBorder="1"/>
    <xf numFmtId="0" fontId="15" fillId="0" borderId="13" xfId="0" applyFont="1" applyFill="1" applyBorder="1" applyProtection="1">
      <protection hidden="1"/>
    </xf>
    <xf numFmtId="0" fontId="15" fillId="0" borderId="12" xfId="0" applyFont="1" applyFill="1" applyBorder="1" applyProtection="1">
      <protection hidden="1"/>
    </xf>
    <xf numFmtId="0" fontId="15" fillId="0" borderId="11" xfId="0" applyFont="1" applyFill="1" applyBorder="1" applyProtection="1">
      <protection hidden="1"/>
    </xf>
    <xf numFmtId="0" fontId="15" fillId="0" borderId="3" xfId="0" applyFont="1" applyFill="1" applyBorder="1" applyProtection="1">
      <protection hidden="1"/>
    </xf>
    <xf numFmtId="0" fontId="15" fillId="0" borderId="0" xfId="0" applyFont="1" applyFill="1" applyBorder="1" applyProtection="1">
      <protection hidden="1"/>
    </xf>
    <xf numFmtId="0" fontId="15" fillId="0" borderId="10" xfId="0" applyFont="1" applyFill="1" applyBorder="1" applyProtection="1">
      <protection hidden="1"/>
    </xf>
    <xf numFmtId="0" fontId="16" fillId="0" borderId="0" xfId="0" applyFont="1" applyFill="1" applyBorder="1" applyProtection="1">
      <protection hidden="1"/>
    </xf>
    <xf numFmtId="0" fontId="16" fillId="0" borderId="0" xfId="0" applyFont="1" applyFill="1" applyBorder="1" applyAlignment="1" applyProtection="1">
      <alignment horizontal="right"/>
      <protection hidden="1"/>
    </xf>
    <xf numFmtId="2" fontId="41" fillId="0" borderId="0" xfId="3" applyNumberFormat="1" applyFill="1" applyBorder="1" applyAlignment="1" applyProtection="1">
      <alignment horizontal="center"/>
      <protection hidden="1"/>
    </xf>
    <xf numFmtId="0" fontId="20" fillId="0" borderId="0" xfId="0" applyFont="1" applyBorder="1" applyAlignment="1" applyProtection="1">
      <alignment horizontal="left"/>
      <protection hidden="1"/>
    </xf>
    <xf numFmtId="0" fontId="20" fillId="0" borderId="0" xfId="0" applyFont="1" applyBorder="1" applyAlignment="1" applyProtection="1">
      <alignment horizontal="center"/>
      <protection hidden="1"/>
    </xf>
    <xf numFmtId="0" fontId="0" fillId="16" borderId="0" xfId="0" applyFill="1" applyBorder="1" applyProtection="1">
      <protection hidden="1"/>
    </xf>
    <xf numFmtId="0" fontId="0" fillId="16" borderId="10" xfId="0" applyFill="1" applyBorder="1" applyProtection="1">
      <protection hidden="1"/>
    </xf>
    <xf numFmtId="0" fontId="0" fillId="0" borderId="0" xfId="0" applyBorder="1" applyProtection="1">
      <protection hidden="1"/>
    </xf>
    <xf numFmtId="0" fontId="0" fillId="0" borderId="0" xfId="0" applyFill="1" applyBorder="1" applyProtection="1">
      <protection hidden="1"/>
    </xf>
    <xf numFmtId="0" fontId="0" fillId="7" borderId="0" xfId="0" applyFill="1" applyBorder="1" applyProtection="1">
      <protection hidden="1"/>
    </xf>
    <xf numFmtId="0" fontId="20" fillId="7" borderId="0" xfId="0" applyFont="1" applyFill="1" applyBorder="1" applyAlignment="1" applyProtection="1">
      <alignment horizontal="center"/>
      <protection hidden="1"/>
    </xf>
    <xf numFmtId="0" fontId="4" fillId="7" borderId="0" xfId="0" applyFont="1" applyFill="1" applyBorder="1" applyAlignment="1" applyProtection="1">
      <alignment horizontal="center" vertical="center" wrapText="1"/>
      <protection locked="0" hidden="1"/>
    </xf>
    <xf numFmtId="1" fontId="41" fillId="14" borderId="2" xfId="3" applyNumberFormat="1" applyBorder="1" applyAlignment="1" applyProtection="1">
      <alignment horizontal="center"/>
      <protection hidden="1"/>
    </xf>
    <xf numFmtId="1" fontId="41" fillId="14" borderId="2" xfId="3" applyNumberFormat="1" applyBorder="1" applyAlignment="1" applyProtection="1">
      <alignment horizontal="center" vertical="center" wrapText="1"/>
      <protection hidden="1"/>
    </xf>
    <xf numFmtId="2" fontId="41" fillId="14" borderId="2" xfId="3" applyNumberFormat="1" applyBorder="1" applyAlignment="1" applyProtection="1">
      <alignment horizontal="center" vertical="center" wrapText="1"/>
      <protection hidden="1"/>
    </xf>
    <xf numFmtId="0" fontId="15" fillId="7" borderId="3" xfId="0" applyFont="1" applyFill="1" applyBorder="1" applyProtection="1">
      <protection hidden="1"/>
    </xf>
    <xf numFmtId="0" fontId="19" fillId="0" borderId="3" xfId="0" applyFont="1" applyFill="1" applyBorder="1" applyAlignment="1" applyProtection="1">
      <alignment horizontal="center"/>
      <protection hidden="1"/>
    </xf>
    <xf numFmtId="0" fontId="19" fillId="0" borderId="10" xfId="0" applyFont="1" applyFill="1" applyBorder="1" applyAlignment="1" applyProtection="1">
      <alignment horizontal="center"/>
      <protection hidden="1"/>
    </xf>
    <xf numFmtId="0" fontId="0" fillId="16" borderId="3" xfId="0" applyFill="1" applyBorder="1" applyProtection="1">
      <protection hidden="1"/>
    </xf>
    <xf numFmtId="0" fontId="20" fillId="0" borderId="3" xfId="0" applyFont="1" applyFill="1" applyBorder="1" applyAlignment="1" applyProtection="1">
      <alignment horizontal="center"/>
      <protection hidden="1"/>
    </xf>
    <xf numFmtId="0" fontId="0" fillId="0" borderId="10" xfId="0" applyFill="1" applyBorder="1" applyProtection="1">
      <protection hidden="1"/>
    </xf>
    <xf numFmtId="0" fontId="4" fillId="0" borderId="3" xfId="0" applyFont="1" applyFill="1" applyBorder="1" applyAlignment="1" applyProtection="1">
      <alignment horizontal="center" vertical="center" wrapText="1"/>
      <protection locked="0" hidden="1"/>
    </xf>
    <xf numFmtId="0" fontId="4" fillId="0" borderId="9" xfId="0" applyFont="1" applyFill="1" applyBorder="1" applyAlignment="1" applyProtection="1">
      <alignment horizontal="center" vertical="center" wrapText="1"/>
      <protection locked="0" hidden="1"/>
    </xf>
    <xf numFmtId="0" fontId="0" fillId="0" borderId="7" xfId="0" applyFill="1" applyBorder="1" applyProtection="1">
      <protection hidden="1"/>
    </xf>
    <xf numFmtId="0" fontId="37" fillId="7" borderId="0" xfId="0" applyFont="1" applyFill="1" applyBorder="1" applyAlignment="1" applyProtection="1">
      <alignment vertical="center"/>
      <protection hidden="1"/>
    </xf>
    <xf numFmtId="0" fontId="22" fillId="7" borderId="0" xfId="6" applyFont="1" applyFill="1" applyBorder="1" applyProtection="1">
      <protection hidden="1"/>
    </xf>
    <xf numFmtId="0" fontId="24" fillId="7" borderId="0" xfId="6" applyFont="1" applyFill="1" applyBorder="1" applyProtection="1">
      <protection hidden="1"/>
    </xf>
    <xf numFmtId="0" fontId="0" fillId="4" borderId="0" xfId="0" applyFont="1" applyFill="1" applyBorder="1" applyAlignment="1" applyProtection="1">
      <alignment horizontal="right" vertical="center"/>
      <protection hidden="1"/>
    </xf>
    <xf numFmtId="2" fontId="41" fillId="17" borderId="0" xfId="3" applyNumberFormat="1" applyFill="1" applyBorder="1" applyAlignment="1" applyProtection="1">
      <alignment horizontal="right" vertical="center"/>
      <protection hidden="1"/>
    </xf>
    <xf numFmtId="0" fontId="24" fillId="4" borderId="0" xfId="6" applyFont="1" applyFill="1" applyBorder="1" applyAlignment="1" applyProtection="1">
      <alignment horizontal="left" indent="1"/>
      <protection hidden="1"/>
    </xf>
    <xf numFmtId="0" fontId="22" fillId="0" borderId="0" xfId="6" applyFont="1" applyBorder="1" applyProtection="1">
      <protection hidden="1"/>
    </xf>
    <xf numFmtId="0" fontId="22" fillId="0" borderId="8" xfId="6" applyFont="1" applyBorder="1" applyProtection="1">
      <protection hidden="1"/>
    </xf>
    <xf numFmtId="0" fontId="22" fillId="0" borderId="7" xfId="6" applyFont="1" applyBorder="1" applyProtection="1">
      <protection hidden="1"/>
    </xf>
    <xf numFmtId="0" fontId="11" fillId="4" borderId="13" xfId="6" applyFont="1" applyFill="1" applyBorder="1" applyAlignment="1" applyProtection="1">
      <alignment vertical="center"/>
      <protection hidden="1"/>
    </xf>
    <xf numFmtId="0" fontId="11" fillId="4" borderId="3" xfId="6" applyFont="1" applyFill="1" applyBorder="1" applyAlignment="1" applyProtection="1">
      <alignment vertical="center"/>
      <protection hidden="1"/>
    </xf>
    <xf numFmtId="0" fontId="11" fillId="4" borderId="9" xfId="6" applyFont="1" applyFill="1" applyBorder="1" applyAlignment="1" applyProtection="1">
      <alignment vertical="center"/>
      <protection hidden="1"/>
    </xf>
    <xf numFmtId="0" fontId="31" fillId="4" borderId="0" xfId="6" applyFont="1" applyFill="1" applyBorder="1" applyAlignment="1" applyProtection="1">
      <alignment wrapText="1"/>
      <protection hidden="1"/>
    </xf>
    <xf numFmtId="0" fontId="50" fillId="4" borderId="0" xfId="6" applyFont="1" applyFill="1" applyBorder="1" applyProtection="1">
      <protection hidden="1"/>
    </xf>
    <xf numFmtId="1" fontId="41" fillId="14" borderId="5" xfId="3" applyNumberFormat="1" applyBorder="1" applyAlignment="1" applyProtection="1">
      <alignment horizontal="right" vertical="center"/>
      <protection hidden="1"/>
    </xf>
    <xf numFmtId="0" fontId="11" fillId="0" borderId="13" xfId="6" applyFont="1" applyFill="1" applyBorder="1" applyAlignment="1" applyProtection="1">
      <alignment vertical="center"/>
      <protection hidden="1"/>
    </xf>
    <xf numFmtId="0" fontId="37" fillId="4" borderId="12" xfId="0" applyFont="1" applyFill="1" applyBorder="1" applyAlignment="1" applyProtection="1">
      <alignment horizontal="left" vertical="center" indent="1"/>
      <protection hidden="1"/>
    </xf>
    <xf numFmtId="0" fontId="11" fillId="0" borderId="3" xfId="6" applyFont="1" applyFill="1" applyBorder="1" applyAlignment="1" applyProtection="1">
      <alignment vertical="center"/>
      <protection hidden="1"/>
    </xf>
    <xf numFmtId="0" fontId="11" fillId="0" borderId="9" xfId="6" applyFont="1" applyFill="1" applyBorder="1" applyAlignment="1" applyProtection="1">
      <alignment vertical="center"/>
      <protection hidden="1"/>
    </xf>
    <xf numFmtId="0" fontId="11" fillId="4" borderId="0" xfId="6" applyFont="1" applyFill="1" applyBorder="1" applyAlignment="1" applyProtection="1">
      <alignment vertical="top"/>
      <protection hidden="1"/>
    </xf>
    <xf numFmtId="0" fontId="0" fillId="0" borderId="0" xfId="0" applyBorder="1" applyAlignment="1">
      <alignment vertical="top"/>
    </xf>
    <xf numFmtId="0" fontId="11" fillId="0" borderId="0" xfId="6" applyFont="1" applyFill="1" applyBorder="1" applyAlignment="1" applyProtection="1">
      <protection hidden="1"/>
    </xf>
    <xf numFmtId="0" fontId="0" fillId="4" borderId="0" xfId="0" applyFill="1" applyBorder="1" applyAlignment="1" applyProtection="1">
      <alignment horizontal="right" vertical="top"/>
      <protection hidden="1"/>
    </xf>
    <xf numFmtId="0" fontId="0" fillId="0" borderId="0" xfId="0" applyAlignment="1">
      <alignment vertical="top"/>
    </xf>
    <xf numFmtId="2" fontId="42" fillId="14" borderId="5" xfId="3" applyNumberFormat="1" applyFont="1" applyBorder="1" applyAlignment="1" applyProtection="1">
      <alignment horizontal="right" vertical="center"/>
      <protection hidden="1"/>
    </xf>
    <xf numFmtId="2" fontId="41" fillId="14" borderId="5" xfId="3" applyNumberFormat="1" applyFont="1" applyBorder="1" applyAlignment="1" applyProtection="1">
      <alignment horizontal="right" vertical="center"/>
      <protection hidden="1"/>
    </xf>
    <xf numFmtId="1" fontId="42" fillId="18" borderId="0" xfId="3" applyNumberFormat="1" applyFont="1" applyFill="1" applyBorder="1" applyAlignment="1" applyProtection="1">
      <alignment horizontal="right" vertical="center"/>
      <protection hidden="1"/>
    </xf>
    <xf numFmtId="0" fontId="8" fillId="4" borderId="0" xfId="0" applyFont="1" applyFill="1" applyBorder="1" applyAlignment="1" applyProtection="1">
      <alignment horizontal="right" vertical="top"/>
      <protection hidden="1"/>
    </xf>
    <xf numFmtId="0" fontId="11" fillId="4" borderId="0" xfId="0" applyFont="1" applyFill="1" applyBorder="1" applyAlignment="1" applyProtection="1">
      <alignment horizontal="right" vertical="center"/>
      <protection hidden="1"/>
    </xf>
    <xf numFmtId="0" fontId="6" fillId="4" borderId="23" xfId="0" applyFont="1" applyFill="1" applyBorder="1" applyAlignment="1">
      <alignment horizontal="center" vertical="top"/>
    </xf>
    <xf numFmtId="0" fontId="26" fillId="4" borderId="0" xfId="8" applyFill="1" applyBorder="1" applyAlignment="1" applyProtection="1">
      <alignment horizontal="right"/>
    </xf>
    <xf numFmtId="0" fontId="15" fillId="4" borderId="16" xfId="0" applyFont="1" applyFill="1" applyBorder="1" applyAlignment="1">
      <alignment horizontal="left" wrapText="1"/>
    </xf>
    <xf numFmtId="0" fontId="1" fillId="4" borderId="1" xfId="1" applyFill="1" applyBorder="1" applyAlignment="1">
      <alignment horizontal="left"/>
    </xf>
    <xf numFmtId="0" fontId="0" fillId="0" borderId="20"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26" fillId="4" borderId="0" xfId="8" applyFill="1" applyBorder="1" applyAlignment="1" applyProtection="1">
      <alignment horizontal="right" vertical="center"/>
    </xf>
    <xf numFmtId="0" fontId="16" fillId="4" borderId="0" xfId="0" applyFont="1" applyFill="1" applyAlignment="1">
      <alignment horizontal="left" vertical="top" wrapText="1"/>
    </xf>
    <xf numFmtId="0" fontId="0" fillId="4" borderId="13" xfId="0" applyFill="1" applyBorder="1" applyAlignment="1" applyProtection="1">
      <alignment vertical="top" wrapText="1"/>
      <protection hidden="1"/>
    </xf>
    <xf numFmtId="0" fontId="0" fillId="0" borderId="12" xfId="0" applyBorder="1" applyAlignment="1">
      <alignment vertical="top" wrapText="1"/>
    </xf>
    <xf numFmtId="0" fontId="0" fillId="0" borderId="11" xfId="0" applyBorder="1" applyAlignment="1">
      <alignment vertical="top" wrapText="1"/>
    </xf>
    <xf numFmtId="0" fontId="0" fillId="4" borderId="3" xfId="0" applyFill="1" applyBorder="1" applyAlignment="1" applyProtection="1">
      <alignment vertical="top" wrapText="1"/>
      <protection hidden="1"/>
    </xf>
    <xf numFmtId="0" fontId="0" fillId="0" borderId="0" xfId="0" applyAlignment="1">
      <alignment vertical="top" wrapText="1"/>
    </xf>
    <xf numFmtId="0" fontId="0" fillId="0" borderId="10" xfId="0" applyBorder="1" applyAlignment="1">
      <alignment vertical="top" wrapText="1"/>
    </xf>
    <xf numFmtId="0" fontId="6" fillId="4" borderId="23" xfId="0" applyFont="1" applyFill="1" applyBorder="1" applyAlignment="1">
      <alignment horizontal="left" vertical="top" indent="1"/>
    </xf>
    <xf numFmtId="0" fontId="26" fillId="0" borderId="24" xfId="8" applyBorder="1" applyAlignment="1" applyProtection="1">
      <alignment horizontal="center" vertical="center"/>
    </xf>
    <xf numFmtId="0" fontId="26" fillId="0" borderId="0" xfId="8" applyBorder="1" applyAlignment="1" applyProtection="1">
      <alignment horizontal="center" vertical="center"/>
    </xf>
    <xf numFmtId="1" fontId="41" fillId="14" borderId="2" xfId="3" applyNumberFormat="1" applyAlignment="1" applyProtection="1">
      <alignment horizontal="center"/>
      <protection hidden="1"/>
    </xf>
    <xf numFmtId="0" fontId="0" fillId="0" borderId="17" xfId="0" applyBorder="1" applyAlignment="1" applyProtection="1">
      <alignment horizontal="center"/>
      <protection hidden="1"/>
    </xf>
    <xf numFmtId="0" fontId="0" fillId="0" borderId="15" xfId="0" applyBorder="1" applyAlignment="1" applyProtection="1">
      <alignment horizontal="center"/>
      <protection hidden="1"/>
    </xf>
    <xf numFmtId="0" fontId="19" fillId="4" borderId="13" xfId="0" applyFont="1" applyFill="1" applyBorder="1" applyAlignment="1" applyProtection="1">
      <alignment horizontal="center"/>
      <protection hidden="1"/>
    </xf>
    <xf numFmtId="0" fontId="19" fillId="4" borderId="12" xfId="0" applyFont="1" applyFill="1" applyBorder="1" applyAlignment="1" applyProtection="1">
      <alignment horizontal="center"/>
      <protection hidden="1"/>
    </xf>
    <xf numFmtId="0" fontId="19" fillId="4" borderId="11" xfId="0" applyFont="1" applyFill="1" applyBorder="1" applyAlignment="1" applyProtection="1">
      <alignment horizontal="center"/>
      <protection hidden="1"/>
    </xf>
    <xf numFmtId="0" fontId="19" fillId="4" borderId="0" xfId="0" applyFont="1" applyFill="1" applyBorder="1" applyAlignment="1" applyProtection="1">
      <alignment horizontal="center"/>
      <protection hidden="1"/>
    </xf>
    <xf numFmtId="0" fontId="6" fillId="4" borderId="0" xfId="0" applyFont="1" applyFill="1" applyAlignment="1" applyProtection="1">
      <alignment horizontal="left" vertical="top" indent="1"/>
      <protection hidden="1"/>
    </xf>
    <xf numFmtId="0" fontId="14" fillId="4" borderId="8" xfId="0" applyFont="1" applyFill="1" applyBorder="1" applyAlignment="1" applyProtection="1">
      <alignment horizontal="center"/>
      <protection hidden="1"/>
    </xf>
    <xf numFmtId="0" fontId="14" fillId="0" borderId="3" xfId="0" applyFont="1" applyFill="1" applyBorder="1" applyAlignment="1" applyProtection="1">
      <alignment horizontal="center" vertical="top"/>
      <protection hidden="1"/>
    </xf>
    <xf numFmtId="0" fontId="14" fillId="0" borderId="0" xfId="0" applyFont="1" applyFill="1" applyBorder="1" applyAlignment="1" applyProtection="1">
      <alignment horizontal="center" vertical="top"/>
      <protection hidden="1"/>
    </xf>
    <xf numFmtId="0" fontId="14" fillId="0" borderId="10" xfId="0" applyFont="1" applyFill="1" applyBorder="1" applyAlignment="1" applyProtection="1">
      <alignment horizontal="center" vertical="top"/>
      <protection hidden="1"/>
    </xf>
    <xf numFmtId="0" fontId="19" fillId="4" borderId="3" xfId="0" applyFont="1" applyFill="1" applyBorder="1" applyAlignment="1" applyProtection="1">
      <alignment horizontal="center"/>
      <protection hidden="1"/>
    </xf>
    <xf numFmtId="0" fontId="19" fillId="4" borderId="10" xfId="0" applyFont="1" applyFill="1" applyBorder="1" applyAlignment="1" applyProtection="1">
      <alignment horizontal="center"/>
      <protection hidden="1"/>
    </xf>
    <xf numFmtId="0" fontId="16" fillId="4" borderId="0" xfId="0" applyFont="1" applyFill="1" applyBorder="1" applyAlignment="1" applyProtection="1">
      <alignment horizontal="left" vertical="top"/>
      <protection hidden="1"/>
    </xf>
    <xf numFmtId="0" fontId="14" fillId="0" borderId="0" xfId="0" applyFont="1" applyFill="1" applyBorder="1" applyAlignment="1" applyProtection="1">
      <alignment horizontal="center"/>
      <protection hidden="1"/>
    </xf>
    <xf numFmtId="0" fontId="17" fillId="0" borderId="0" xfId="0" applyFont="1" applyFill="1" applyBorder="1" applyAlignment="1" applyProtection="1">
      <alignment horizontal="center"/>
      <protection hidden="1"/>
    </xf>
    <xf numFmtId="0" fontId="15" fillId="0" borderId="0" xfId="0" applyFont="1" applyBorder="1" applyAlignment="1" applyProtection="1">
      <alignment horizontal="left" vertical="top" wrapText="1"/>
      <protection hidden="1"/>
    </xf>
    <xf numFmtId="0" fontId="0" fillId="0" borderId="0" xfId="0" applyBorder="1" applyAlignment="1"/>
    <xf numFmtId="171" fontId="24" fillId="8" borderId="29" xfId="6" applyNumberFormat="1" applyFont="1" applyFill="1" applyBorder="1" applyAlignment="1" applyProtection="1">
      <alignment horizontal="center" vertical="center"/>
      <protection hidden="1"/>
    </xf>
    <xf numFmtId="0" fontId="0" fillId="0" borderId="30" xfId="0" applyBorder="1" applyAlignment="1">
      <alignment horizontal="center" vertical="center"/>
    </xf>
    <xf numFmtId="0" fontId="0" fillId="0" borderId="31" xfId="0" applyBorder="1" applyAlignment="1">
      <alignment horizontal="center" vertical="center"/>
    </xf>
    <xf numFmtId="0" fontId="31" fillId="4" borderId="29" xfId="6" applyFont="1" applyFill="1" applyBorder="1" applyAlignment="1" applyProtection="1">
      <alignment horizontal="left" wrapText="1"/>
      <protection hidden="1"/>
    </xf>
    <xf numFmtId="0" fontId="0" fillId="0" borderId="31" xfId="0" applyBorder="1" applyAlignment="1">
      <alignment horizontal="left" wrapText="1"/>
    </xf>
    <xf numFmtId="0" fontId="4" fillId="4" borderId="0" xfId="5" applyFont="1" applyFill="1" applyBorder="1" applyAlignment="1" applyProtection="1">
      <alignment wrapText="1"/>
      <protection hidden="1"/>
    </xf>
    <xf numFmtId="0" fontId="0" fillId="4" borderId="0" xfId="0" applyFill="1" applyAlignment="1" applyProtection="1">
      <alignment wrapText="1"/>
      <protection hidden="1"/>
    </xf>
    <xf numFmtId="0" fontId="0" fillId="7" borderId="0" xfId="0" applyFill="1" applyAlignment="1" applyProtection="1">
      <protection hidden="1"/>
    </xf>
    <xf numFmtId="0" fontId="0" fillId="7" borderId="0" xfId="0" applyFill="1" applyAlignment="1"/>
    <xf numFmtId="0" fontId="54" fillId="7" borderId="0" xfId="0" applyFont="1" applyFill="1" applyAlignment="1"/>
    <xf numFmtId="168" fontId="43" fillId="15" borderId="19" xfId="4" applyNumberFormat="1" applyProtection="1">
      <protection locked="0" hidden="1"/>
    </xf>
    <xf numFmtId="166" fontId="24" fillId="0" borderId="0" xfId="5" applyNumberFormat="1" applyFont="1" applyBorder="1" applyProtection="1">
      <protection hidden="1"/>
    </xf>
    <xf numFmtId="0" fontId="2" fillId="19" borderId="0" xfId="2" applyFont="1" applyFill="1" applyBorder="1" applyProtection="1">
      <protection hidden="1"/>
    </xf>
    <xf numFmtId="0" fontId="2" fillId="13" borderId="5" xfId="2" applyFont="1" applyBorder="1" applyProtection="1">
      <protection locked="0" hidden="1"/>
    </xf>
    <xf numFmtId="166" fontId="2" fillId="19" borderId="0" xfId="2" applyNumberFormat="1" applyFont="1" applyFill="1" applyBorder="1" applyProtection="1">
      <protection hidden="1"/>
    </xf>
    <xf numFmtId="2" fontId="2" fillId="19" borderId="0" xfId="2" applyNumberFormat="1" applyFont="1" applyFill="1" applyBorder="1" applyProtection="1">
      <protection hidden="1"/>
    </xf>
    <xf numFmtId="0" fontId="55" fillId="4" borderId="0" xfId="5" applyFont="1" applyFill="1" applyBorder="1" applyAlignment="1" applyProtection="1">
      <alignment horizontal="right"/>
      <protection hidden="1"/>
    </xf>
    <xf numFmtId="2" fontId="2" fillId="20" borderId="0" xfId="2" applyNumberFormat="1" applyFont="1" applyFill="1" applyBorder="1" applyProtection="1">
      <protection hidden="1"/>
    </xf>
    <xf numFmtId="0" fontId="57" fillId="4" borderId="3" xfId="0" applyFont="1" applyFill="1" applyBorder="1" applyAlignment="1" applyProtection="1">
      <alignment horizontal="left" vertical="center" indent="1"/>
      <protection hidden="1"/>
    </xf>
  </cellXfs>
  <cellStyles count="12">
    <cellStyle name="Calculation" xfId="3" builtinId="22" customBuiltin="1"/>
    <cellStyle name="Calculation (2)" xfId="10"/>
    <cellStyle name="Check Cell" xfId="4" builtinId="23" customBuiltin="1"/>
    <cellStyle name="Comma 2" xfId="7"/>
    <cellStyle name="Followed Hyperlink" xfId="9" builtinId="9" customBuiltin="1"/>
    <cellStyle name="Heading 1" xfId="1" builtinId="16"/>
    <cellStyle name="Hyperlink" xfId="8" builtinId="8"/>
    <cellStyle name="Input" xfId="2" builtinId="20" customBuiltin="1"/>
    <cellStyle name="Input 2" xfId="11"/>
    <cellStyle name="Normal" xfId="0" builtinId="0"/>
    <cellStyle name="Normal 2" xfId="5"/>
    <cellStyle name="Normal_Thrust Restraint4" xfId="6"/>
  </cellStyles>
  <dxfs count="16">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strike val="0"/>
        <color theme="0"/>
      </font>
      <fill>
        <patternFill patternType="solid">
          <bgColor theme="0"/>
        </patternFill>
      </fill>
      <border>
        <left/>
        <right/>
        <top/>
        <bottom/>
      </border>
    </dxf>
    <dxf>
      <font>
        <strike val="0"/>
        <color theme="0"/>
      </font>
      <fill>
        <patternFill patternType="solid">
          <bgColor theme="0"/>
        </patternFill>
      </fill>
      <border>
        <left/>
        <right/>
        <top/>
        <bottom/>
      </border>
    </dxf>
    <dxf>
      <fill>
        <patternFill>
          <bgColor rgb="FFFFFF00"/>
        </patternFill>
      </fill>
    </dxf>
    <dxf>
      <fill>
        <patternFill>
          <bgColor rgb="FFB6DF89"/>
        </patternFill>
      </fill>
    </dxf>
    <dxf>
      <fill>
        <patternFill>
          <bgColor rgb="FFCCECFF"/>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006100"/>
      </font>
      <fill>
        <patternFill>
          <bgColor rgb="FFC6EFCE"/>
        </patternFill>
      </fill>
    </dxf>
  </dxfs>
  <tableStyles count="0" defaultTableStyle="TableStyleMedium9" defaultPivotStyle="PivotStyleLight16"/>
  <colors>
    <mruColors>
      <color rgb="FF7F7F7F"/>
      <color rgb="FFEEEEEE"/>
      <color rgb="FFFFFFFF"/>
      <color rgb="FFCCECFF"/>
      <color rgb="FFDEDEDE"/>
      <color rgb="FF1F497D"/>
      <color rgb="FFD7E476"/>
      <color rgb="FFEAF1DD"/>
      <color rgb="FFFCD5B4"/>
      <color rgb="FFFAC09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onnections" Target="connection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57150</xdr:colOff>
      <xdr:row>0</xdr:row>
      <xdr:rowOff>0</xdr:rowOff>
    </xdr:from>
    <xdr:to>
      <xdr:col>8</xdr:col>
      <xdr:colOff>85725</xdr:colOff>
      <xdr:row>1</xdr:row>
      <xdr:rowOff>85725</xdr:rowOff>
    </xdr:to>
    <xdr:grpSp>
      <xdr:nvGrpSpPr>
        <xdr:cNvPr id="3" name="Group 2"/>
        <xdr:cNvGrpSpPr/>
      </xdr:nvGrpSpPr>
      <xdr:grpSpPr>
        <a:xfrm>
          <a:off x="670063" y="0"/>
          <a:ext cx="4683401" cy="1228725"/>
          <a:chOff x="664369" y="0"/>
          <a:chExt cx="4672012" cy="1228725"/>
        </a:xfrm>
      </xdr:grpSpPr>
      <xdr:pic>
        <xdr:nvPicPr>
          <xdr:cNvPr id="7"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664369" y="0"/>
            <a:ext cx="4672012" cy="1228725"/>
          </a:xfrm>
          <a:prstGeom prst="rect">
            <a:avLst/>
          </a:prstGeom>
          <a:noFill/>
        </xdr:spPr>
      </xdr:pic>
      <xdr:sp macro="" textlink="">
        <xdr:nvSpPr>
          <xdr:cNvPr id="2" name="Rectangle 1"/>
          <xdr:cNvSpPr/>
        </xdr:nvSpPr>
        <xdr:spPr>
          <a:xfrm>
            <a:off x="1607344" y="863203"/>
            <a:ext cx="613172" cy="178594"/>
          </a:xfrm>
          <a:prstGeom prst="rect">
            <a:avLst/>
          </a:prstGeom>
          <a:solidFill>
            <a:schemeClr val="bg1"/>
          </a:solidFill>
          <a:ln>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grp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695324</xdr:colOff>
      <xdr:row>26</xdr:row>
      <xdr:rowOff>95250</xdr:rowOff>
    </xdr:from>
    <xdr:ext cx="5484163" cy="5476446"/>
    <xdr:pic>
      <xdr:nvPicPr>
        <xdr:cNvPr id="5" name="Picture 4" descr="2012-01-25_081312"/>
        <xdr:cNvPicPr>
          <a:picLocks noChangeAspect="1" noChangeArrowheads="1"/>
        </xdr:cNvPicPr>
      </xdr:nvPicPr>
      <xdr:blipFill>
        <a:blip xmlns:r="http://schemas.openxmlformats.org/officeDocument/2006/relationships" r:embed="rId1" cstate="print"/>
        <a:srcRect/>
        <a:stretch>
          <a:fillRect/>
        </a:stretch>
      </xdr:blipFill>
      <xdr:spPr bwMode="auto">
        <a:xfrm>
          <a:off x="990599" y="9020175"/>
          <a:ext cx="5484163" cy="5476446"/>
        </a:xfrm>
        <a:prstGeom prst="rect">
          <a:avLst/>
        </a:prstGeom>
        <a:noFill/>
      </xdr:spPr>
    </xdr:pic>
    <xdr:clientData/>
  </xdr:oneCellAnchor>
  <xdr:absoluteAnchor>
    <xdr:pos x="3419475" y="0"/>
    <xdr:ext cx="2338383" cy="285750"/>
    <xdr:pic>
      <xdr:nvPicPr>
        <xdr:cNvPr id="4" name="Picture 1"/>
        <xdr:cNvPicPr>
          <a:picLocks noChangeAspect="1" noChangeArrowheads="1"/>
        </xdr:cNvPicPr>
      </xdr:nvPicPr>
      <xdr:blipFill>
        <a:blip xmlns:r="http://schemas.openxmlformats.org/officeDocument/2006/relationships" r:embed="rId2" cstate="print"/>
        <a:srcRect t="38760" b="14729"/>
        <a:stretch>
          <a:fillRect/>
        </a:stretch>
      </xdr:blipFill>
      <xdr:spPr bwMode="auto">
        <a:xfrm>
          <a:off x="3419475" y="0"/>
          <a:ext cx="2338383" cy="285750"/>
        </a:xfrm>
        <a:prstGeom prst="rect">
          <a:avLst/>
        </a:prstGeom>
        <a:noFill/>
      </xdr:spPr>
    </xdr:pic>
    <xdr:clientData/>
  </xdr:absoluteAnchor>
</xdr:wsDr>
</file>

<file path=xl/drawings/drawing3.xml><?xml version="1.0" encoding="utf-8"?>
<xdr:wsDr xmlns:xdr="http://schemas.openxmlformats.org/drawingml/2006/spreadsheetDrawing" xmlns:a="http://schemas.openxmlformats.org/drawingml/2006/main">
  <xdr:absoluteAnchor>
    <xdr:pos x="5200650" y="0"/>
    <xdr:ext cx="2338383" cy="285750"/>
    <xdr:pic>
      <xdr:nvPicPr>
        <xdr:cNvPr id="3" name="Picture 1"/>
        <xdr:cNvPicPr>
          <a:picLocks noChangeAspect="1" noChangeArrowheads="1"/>
        </xdr:cNvPicPr>
      </xdr:nvPicPr>
      <xdr:blipFill>
        <a:blip xmlns:r="http://schemas.openxmlformats.org/officeDocument/2006/relationships" r:embed="rId1" cstate="print"/>
        <a:srcRect t="38760" b="14729"/>
        <a:stretch>
          <a:fillRect/>
        </a:stretch>
      </xdr:blipFill>
      <xdr:spPr bwMode="auto">
        <a:xfrm>
          <a:off x="5200650" y="0"/>
          <a:ext cx="2338383" cy="285750"/>
        </a:xfrm>
        <a:prstGeom prst="rect">
          <a:avLst/>
        </a:prstGeom>
        <a:noFill/>
      </xdr:spPr>
    </xdr:pic>
    <xdr:clientData/>
  </xdr:absoluteAnchor>
</xdr:wsDr>
</file>

<file path=xl/drawings/drawing4.xml><?xml version="1.0" encoding="utf-8"?>
<xdr:wsDr xmlns:xdr="http://schemas.openxmlformats.org/drawingml/2006/spreadsheetDrawing" xmlns:a="http://schemas.openxmlformats.org/drawingml/2006/main">
  <xdr:absoluteAnchor>
    <xdr:pos x="5372100" y="0"/>
    <xdr:ext cx="2338383" cy="285750"/>
    <xdr:pic>
      <xdr:nvPicPr>
        <xdr:cNvPr id="4" name="Picture 1"/>
        <xdr:cNvPicPr>
          <a:picLocks noChangeAspect="1" noChangeArrowheads="1"/>
        </xdr:cNvPicPr>
      </xdr:nvPicPr>
      <xdr:blipFill>
        <a:blip xmlns:r="http://schemas.openxmlformats.org/officeDocument/2006/relationships" r:embed="rId1" cstate="print"/>
        <a:srcRect t="38760" b="14729"/>
        <a:stretch>
          <a:fillRect/>
        </a:stretch>
      </xdr:blipFill>
      <xdr:spPr bwMode="auto">
        <a:xfrm>
          <a:off x="5372100" y="0"/>
          <a:ext cx="2338383" cy="285750"/>
        </a:xfrm>
        <a:prstGeom prst="rect">
          <a:avLst/>
        </a:prstGeom>
        <a:noFill/>
      </xdr:spPr>
    </xdr:pic>
    <xdr:clientData/>
  </xdr:absoluteAnchor>
  <xdr:twoCellAnchor editAs="oneCell">
    <xdr:from>
      <xdr:col>6</xdr:col>
      <xdr:colOff>88106</xdr:colOff>
      <xdr:row>19</xdr:row>
      <xdr:rowOff>35718</xdr:rowOff>
    </xdr:from>
    <xdr:to>
      <xdr:col>9</xdr:col>
      <xdr:colOff>383381</xdr:colOff>
      <xdr:row>31</xdr:row>
      <xdr:rowOff>30955</xdr:rowOff>
    </xdr:to>
    <xdr:pic>
      <xdr:nvPicPr>
        <xdr:cNvPr id="5" name="Picture 4"/>
        <xdr:cNvPicPr>
          <a:picLocks noChangeAspect="1"/>
        </xdr:cNvPicPr>
      </xdr:nvPicPr>
      <xdr:blipFill>
        <a:blip xmlns:r="http://schemas.openxmlformats.org/officeDocument/2006/relationships" r:embed="rId2"/>
        <a:stretch>
          <a:fillRect/>
        </a:stretch>
      </xdr:blipFill>
      <xdr:spPr>
        <a:xfrm>
          <a:off x="4451747" y="3530202"/>
          <a:ext cx="3301603" cy="228719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absoluteAnchor>
    <xdr:pos x="8848725" y="0"/>
    <xdr:ext cx="2338383" cy="285750"/>
    <xdr:pic>
      <xdr:nvPicPr>
        <xdr:cNvPr id="3" name="Picture 1"/>
        <xdr:cNvPicPr>
          <a:picLocks noChangeAspect="1" noChangeArrowheads="1"/>
        </xdr:cNvPicPr>
      </xdr:nvPicPr>
      <xdr:blipFill>
        <a:blip xmlns:r="http://schemas.openxmlformats.org/officeDocument/2006/relationships" r:embed="rId1" cstate="print"/>
        <a:srcRect t="38760" b="14729"/>
        <a:stretch>
          <a:fillRect/>
        </a:stretch>
      </xdr:blipFill>
      <xdr:spPr bwMode="auto">
        <a:xfrm>
          <a:off x="8848725" y="0"/>
          <a:ext cx="2338383" cy="285750"/>
        </a:xfrm>
        <a:prstGeom prst="rect">
          <a:avLst/>
        </a:prstGeom>
        <a:noFill/>
      </xdr:spPr>
    </xdr:pic>
    <xdr:clientData/>
  </xdr:absoluteAnchor>
  <xdr:twoCellAnchor editAs="oneCell">
    <xdr:from>
      <xdr:col>11</xdr:col>
      <xdr:colOff>266700</xdr:colOff>
      <xdr:row>2</xdr:row>
      <xdr:rowOff>38100</xdr:rowOff>
    </xdr:from>
    <xdr:to>
      <xdr:col>16</xdr:col>
      <xdr:colOff>645111</xdr:colOff>
      <xdr:row>26</xdr:row>
      <xdr:rowOff>152400</xdr:rowOff>
    </xdr:to>
    <xdr:pic>
      <xdr:nvPicPr>
        <xdr:cNvPr id="2" name="Picture 1"/>
        <xdr:cNvPicPr>
          <a:picLocks noChangeAspect="1"/>
        </xdr:cNvPicPr>
      </xdr:nvPicPr>
      <xdr:blipFill>
        <a:blip xmlns:r="http://schemas.openxmlformats.org/officeDocument/2006/relationships" r:embed="rId2"/>
        <a:stretch>
          <a:fillRect/>
        </a:stretch>
      </xdr:blipFill>
      <xdr:spPr>
        <a:xfrm>
          <a:off x="6296025" y="533400"/>
          <a:ext cx="4887658" cy="4505325"/>
        </a:xfrm>
        <a:prstGeom prst="rect">
          <a:avLst/>
        </a:prstGeom>
      </xdr:spPr>
    </xdr:pic>
    <xdr:clientData/>
  </xdr:twoCellAnchor>
  <xdr:twoCellAnchor editAs="oneCell">
    <xdr:from>
      <xdr:col>11</xdr:col>
      <xdr:colOff>466725</xdr:colOff>
      <xdr:row>27</xdr:row>
      <xdr:rowOff>9525</xdr:rowOff>
    </xdr:from>
    <xdr:to>
      <xdr:col>16</xdr:col>
      <xdr:colOff>386050</xdr:colOff>
      <xdr:row>28</xdr:row>
      <xdr:rowOff>85692</xdr:rowOff>
    </xdr:to>
    <xdr:pic>
      <xdr:nvPicPr>
        <xdr:cNvPr id="4" name="Picture 3"/>
        <xdr:cNvPicPr>
          <a:picLocks noChangeAspect="1"/>
        </xdr:cNvPicPr>
      </xdr:nvPicPr>
      <xdr:blipFill>
        <a:blip xmlns:r="http://schemas.openxmlformats.org/officeDocument/2006/relationships" r:embed="rId3"/>
        <a:stretch>
          <a:fillRect/>
        </a:stretch>
      </xdr:blipFill>
      <xdr:spPr>
        <a:xfrm>
          <a:off x="6496050" y="5086350"/>
          <a:ext cx="4428572" cy="26666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absoluteAnchor>
    <xdr:pos x="2476500" y="9525"/>
    <xdr:ext cx="2338383" cy="285750"/>
    <xdr:pic>
      <xdr:nvPicPr>
        <xdr:cNvPr id="3" name="Picture 1"/>
        <xdr:cNvPicPr>
          <a:picLocks noChangeAspect="1" noChangeArrowheads="1"/>
        </xdr:cNvPicPr>
      </xdr:nvPicPr>
      <xdr:blipFill>
        <a:blip xmlns:r="http://schemas.openxmlformats.org/officeDocument/2006/relationships" r:embed="rId1" cstate="print"/>
        <a:srcRect t="38760" b="14729"/>
        <a:stretch>
          <a:fillRect/>
        </a:stretch>
      </xdr:blipFill>
      <xdr:spPr bwMode="auto">
        <a:xfrm>
          <a:off x="2476500" y="9525"/>
          <a:ext cx="2338383" cy="285750"/>
        </a:xfrm>
        <a:prstGeom prst="rect">
          <a:avLst/>
        </a:prstGeom>
        <a:noFill/>
      </xdr:spPr>
    </xdr:pic>
    <xdr:clientData/>
  </xdr:absoluteAnchor>
</xdr:wsDr>
</file>

<file path=xl/queryTables/queryTable1.xml><?xml version="1.0" encoding="utf-8"?>
<queryTable xmlns="http://schemas.openxmlformats.org/spreadsheetml/2006/main" name="watercalculator" backgroundRefresh="0" refreshOnLoad="1" growShrinkType="overwriteClear" removeDataOnSave="1" adjustColumnWidth="0" connectionId="1"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queryTable" Target="../queryTables/query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M90"/>
  <sheetViews>
    <sheetView showGridLines="0" showRowColHeaders="0" tabSelected="1" zoomScale="115" zoomScaleNormal="115" workbookViewId="0"/>
  </sheetViews>
  <sheetFormatPr defaultColWidth="0" defaultRowHeight="15" zeroHeight="1" x14ac:dyDescent="0.25"/>
  <cols>
    <col min="1" max="1" width="9.140625" customWidth="1"/>
    <col min="2" max="2" width="2.28515625" customWidth="1"/>
    <col min="3" max="3" width="13.42578125" customWidth="1"/>
    <col min="4" max="5" width="13.28515625" customWidth="1"/>
    <col min="6" max="8" width="9.140625" customWidth="1"/>
    <col min="9" max="9" width="2.28515625" customWidth="1"/>
    <col min="10" max="10" width="8.5703125" customWidth="1"/>
    <col min="11" max="11" width="3.5703125" hidden="1" customWidth="1"/>
    <col min="12" max="12" width="9.140625" hidden="1" customWidth="1"/>
    <col min="13" max="13" width="11.7109375" hidden="1" customWidth="1"/>
    <col min="14" max="256" width="9.140625" hidden="1" customWidth="1"/>
    <col min="257" max="16384" width="9.140625" hidden="1"/>
  </cols>
  <sheetData>
    <row r="1" spans="1:13" ht="90" customHeight="1" x14ac:dyDescent="0.25">
      <c r="A1" s="1"/>
      <c r="B1" s="1"/>
      <c r="C1" s="1"/>
      <c r="D1" s="1"/>
      <c r="E1" s="1"/>
      <c r="F1" s="1"/>
      <c r="G1" s="1"/>
      <c r="H1" s="1"/>
      <c r="I1" s="1"/>
      <c r="J1" s="1"/>
      <c r="K1" s="1"/>
      <c r="L1" s="1"/>
      <c r="M1" s="1"/>
    </row>
    <row r="2" spans="1:13" ht="26.25" customHeight="1" x14ac:dyDescent="0.25">
      <c r="A2" s="330" t="s">
        <v>178</v>
      </c>
      <c r="B2" s="330"/>
      <c r="C2" s="330"/>
      <c r="D2" s="330"/>
      <c r="E2" s="330"/>
      <c r="F2" s="330"/>
      <c r="G2" s="330"/>
      <c r="H2" s="330"/>
      <c r="I2" s="330"/>
      <c r="J2" s="330"/>
      <c r="K2" s="2"/>
      <c r="L2" s="1"/>
      <c r="M2" s="1"/>
    </row>
    <row r="3" spans="1:13" s="27" customFormat="1" ht="15.75" customHeight="1" thickBot="1" x14ac:dyDescent="0.3">
      <c r="K3" s="28"/>
    </row>
    <row r="4" spans="1:13" ht="12" customHeight="1" x14ac:dyDescent="0.25">
      <c r="A4" s="27"/>
      <c r="B4" s="21"/>
      <c r="C4" s="22"/>
      <c r="D4" s="22"/>
      <c r="E4" s="22"/>
      <c r="F4" s="22"/>
      <c r="G4" s="22"/>
      <c r="H4" s="22"/>
      <c r="I4" s="23"/>
      <c r="J4" s="27"/>
    </row>
    <row r="5" spans="1:13" ht="20.25" thickBot="1" x14ac:dyDescent="0.35">
      <c r="A5" s="27"/>
      <c r="B5" s="17"/>
      <c r="C5" s="24" t="s">
        <v>0</v>
      </c>
      <c r="D5" s="24"/>
      <c r="E5" s="24"/>
      <c r="F5" s="24"/>
      <c r="G5" s="24"/>
      <c r="H5" s="26"/>
      <c r="I5" s="19"/>
      <c r="J5" s="27"/>
    </row>
    <row r="6" spans="1:13" ht="45" customHeight="1" thickTop="1" x14ac:dyDescent="0.25">
      <c r="A6" s="27"/>
      <c r="B6" s="17"/>
      <c r="C6" s="332" t="s">
        <v>169</v>
      </c>
      <c r="D6" s="332"/>
      <c r="E6" s="332"/>
      <c r="F6" s="332"/>
      <c r="G6" s="332"/>
      <c r="H6" s="332"/>
      <c r="I6" s="19"/>
      <c r="J6" s="27"/>
    </row>
    <row r="7" spans="1:13" ht="15" customHeight="1" x14ac:dyDescent="0.25">
      <c r="A7" s="27"/>
      <c r="B7" s="17"/>
      <c r="C7" s="16"/>
      <c r="D7" s="16"/>
      <c r="E7" s="16"/>
      <c r="F7" s="16"/>
      <c r="G7" s="331" t="s">
        <v>110</v>
      </c>
      <c r="H7" s="331"/>
      <c r="I7" s="19"/>
      <c r="J7" s="27"/>
    </row>
    <row r="8" spans="1:13" ht="15" customHeight="1" x14ac:dyDescent="0.25">
      <c r="A8" s="27"/>
      <c r="B8" s="17"/>
      <c r="C8" s="16"/>
      <c r="D8" s="16"/>
      <c r="E8" s="16"/>
      <c r="F8" s="16"/>
      <c r="G8" s="16"/>
      <c r="H8" s="30" t="s">
        <v>142</v>
      </c>
      <c r="I8" s="19"/>
      <c r="J8" s="27"/>
    </row>
    <row r="9" spans="1:13" ht="29.25" customHeight="1" thickBot="1" x14ac:dyDescent="0.35">
      <c r="A9" s="27"/>
      <c r="B9" s="17"/>
      <c r="C9" s="24" t="s">
        <v>51</v>
      </c>
      <c r="D9" s="24"/>
      <c r="E9" s="24"/>
      <c r="F9" s="24"/>
      <c r="G9" s="24"/>
      <c r="H9" s="26"/>
      <c r="I9" s="19"/>
      <c r="J9" s="27"/>
    </row>
    <row r="10" spans="1:13" ht="36" customHeight="1" thickTop="1" x14ac:dyDescent="0.25">
      <c r="A10" s="27"/>
      <c r="B10" s="17"/>
      <c r="C10" s="332" t="s">
        <v>165</v>
      </c>
      <c r="D10" s="332"/>
      <c r="E10" s="332"/>
      <c r="F10" s="332"/>
      <c r="G10" s="332"/>
      <c r="H10" s="332"/>
      <c r="I10" s="19"/>
      <c r="J10" s="27"/>
    </row>
    <row r="11" spans="1:13" ht="15" customHeight="1" x14ac:dyDescent="0.25">
      <c r="A11" s="27"/>
      <c r="B11" s="17"/>
      <c r="C11" s="16"/>
      <c r="D11" s="16"/>
      <c r="E11" s="16"/>
      <c r="F11" s="16"/>
      <c r="G11" s="331" t="s">
        <v>110</v>
      </c>
      <c r="H11" s="331"/>
      <c r="I11" s="19"/>
      <c r="J11" s="27"/>
    </row>
    <row r="12" spans="1:13" ht="15" customHeight="1" x14ac:dyDescent="0.25">
      <c r="A12" s="27"/>
      <c r="B12" s="17"/>
      <c r="C12" s="16"/>
      <c r="D12" s="16"/>
      <c r="E12" s="16"/>
      <c r="F12" s="16"/>
      <c r="G12" s="16"/>
      <c r="H12" s="30" t="s">
        <v>109</v>
      </c>
      <c r="I12" s="19"/>
      <c r="J12" s="27"/>
    </row>
    <row r="13" spans="1:13" ht="30" customHeight="1" thickBot="1" x14ac:dyDescent="0.35">
      <c r="A13" s="27"/>
      <c r="B13" s="17"/>
      <c r="C13" s="24" t="s">
        <v>52</v>
      </c>
      <c r="D13" s="24"/>
      <c r="E13" s="24"/>
      <c r="F13" s="24"/>
      <c r="G13" s="24"/>
      <c r="H13" s="26"/>
      <c r="I13" s="19"/>
      <c r="J13" s="27"/>
    </row>
    <row r="14" spans="1:13" ht="45" customHeight="1" thickTop="1" x14ac:dyDescent="0.25">
      <c r="A14" s="27"/>
      <c r="B14" s="17"/>
      <c r="C14" s="332" t="s">
        <v>166</v>
      </c>
      <c r="D14" s="332"/>
      <c r="E14" s="332"/>
      <c r="F14" s="332"/>
      <c r="G14" s="332"/>
      <c r="H14" s="332"/>
      <c r="I14" s="19"/>
      <c r="J14" s="27"/>
    </row>
    <row r="15" spans="1:13" ht="15" customHeight="1" x14ac:dyDescent="0.25">
      <c r="A15" s="27"/>
      <c r="B15" s="17"/>
      <c r="C15" s="16"/>
      <c r="D15" s="16"/>
      <c r="E15" s="16"/>
      <c r="F15" s="16"/>
      <c r="G15" s="331" t="s">
        <v>110</v>
      </c>
      <c r="H15" s="331"/>
      <c r="I15" s="19"/>
      <c r="J15" s="27"/>
    </row>
    <row r="16" spans="1:13" ht="15" customHeight="1" x14ac:dyDescent="0.25">
      <c r="A16" s="27"/>
      <c r="B16" s="17"/>
      <c r="C16" s="16"/>
      <c r="D16" s="16"/>
      <c r="E16" s="16"/>
      <c r="F16" s="16"/>
      <c r="G16" s="16"/>
      <c r="H16" s="30" t="s">
        <v>143</v>
      </c>
      <c r="I16" s="19"/>
      <c r="J16" s="27"/>
    </row>
    <row r="17" spans="1:10" ht="30" customHeight="1" thickBot="1" x14ac:dyDescent="0.35">
      <c r="A17" s="27"/>
      <c r="B17" s="17"/>
      <c r="C17" s="24" t="s">
        <v>4</v>
      </c>
      <c r="D17" s="24"/>
      <c r="E17" s="24"/>
      <c r="F17" s="24"/>
      <c r="G17" s="24"/>
      <c r="H17" s="26"/>
      <c r="I17" s="19"/>
      <c r="J17" s="27"/>
    </row>
    <row r="18" spans="1:10" ht="45" customHeight="1" thickTop="1" x14ac:dyDescent="0.25">
      <c r="A18" s="27"/>
      <c r="B18" s="17"/>
      <c r="C18" s="332" t="s">
        <v>167</v>
      </c>
      <c r="D18" s="332"/>
      <c r="E18" s="332"/>
      <c r="F18" s="332"/>
      <c r="G18" s="332"/>
      <c r="H18" s="332"/>
      <c r="I18" s="19"/>
      <c r="J18" s="27"/>
    </row>
    <row r="19" spans="1:10" ht="15" customHeight="1" x14ac:dyDescent="0.25">
      <c r="A19" s="27"/>
      <c r="B19" s="17"/>
      <c r="C19" s="16"/>
      <c r="D19" s="16"/>
      <c r="E19" s="16"/>
      <c r="F19" s="16"/>
      <c r="G19" s="331" t="s">
        <v>110</v>
      </c>
      <c r="H19" s="331"/>
      <c r="I19" s="19"/>
      <c r="J19" s="27"/>
    </row>
    <row r="20" spans="1:10" ht="15" customHeight="1" x14ac:dyDescent="0.25">
      <c r="A20" s="27"/>
      <c r="B20" s="17"/>
      <c r="C20" s="16"/>
      <c r="D20" s="16"/>
      <c r="E20" s="16"/>
      <c r="F20" s="16"/>
      <c r="G20" s="16"/>
      <c r="H20" s="30" t="s">
        <v>109</v>
      </c>
      <c r="I20" s="19"/>
      <c r="J20" s="27"/>
    </row>
    <row r="21" spans="1:10" ht="30" customHeight="1" thickBot="1" x14ac:dyDescent="0.35">
      <c r="A21" s="27"/>
      <c r="B21" s="17"/>
      <c r="C21" s="24" t="s">
        <v>5</v>
      </c>
      <c r="D21" s="24"/>
      <c r="E21" s="24"/>
      <c r="F21" s="24"/>
      <c r="G21" s="24"/>
      <c r="H21" s="26"/>
      <c r="I21" s="19"/>
      <c r="J21" s="27"/>
    </row>
    <row r="22" spans="1:10" ht="35.25" customHeight="1" thickTop="1" x14ac:dyDescent="0.25">
      <c r="A22" s="27"/>
      <c r="B22" s="17"/>
      <c r="C22" s="332" t="s">
        <v>168</v>
      </c>
      <c r="D22" s="332"/>
      <c r="E22" s="332"/>
      <c r="F22" s="332"/>
      <c r="G22" s="332"/>
      <c r="H22" s="332"/>
      <c r="I22" s="19"/>
      <c r="J22" s="27"/>
    </row>
    <row r="23" spans="1:10" x14ac:dyDescent="0.25">
      <c r="A23" s="27"/>
      <c r="B23" s="17"/>
      <c r="C23" s="16"/>
      <c r="D23" s="16"/>
      <c r="E23" s="16"/>
      <c r="F23" s="16"/>
      <c r="G23" s="337" t="s">
        <v>110</v>
      </c>
      <c r="H23" s="337"/>
      <c r="I23" s="19"/>
      <c r="J23" s="27"/>
    </row>
    <row r="24" spans="1:10" x14ac:dyDescent="0.25">
      <c r="A24" s="27"/>
      <c r="B24" s="17"/>
      <c r="C24" s="16"/>
      <c r="D24" s="16"/>
      <c r="E24" s="16"/>
      <c r="F24" s="16"/>
      <c r="G24" s="16"/>
      <c r="H24" s="30" t="s">
        <v>109</v>
      </c>
      <c r="I24" s="19"/>
      <c r="J24" s="27"/>
    </row>
    <row r="25" spans="1:10" ht="12" customHeight="1" thickBot="1" x14ac:dyDescent="0.3">
      <c r="A25" s="27"/>
      <c r="B25" s="18"/>
      <c r="C25" s="25"/>
      <c r="D25" s="25"/>
      <c r="E25" s="25"/>
      <c r="F25" s="25"/>
      <c r="G25" s="25"/>
      <c r="H25" s="25"/>
      <c r="I25" s="20"/>
      <c r="J25" s="27"/>
    </row>
    <row r="26" spans="1:10" ht="15.75" thickBot="1" x14ac:dyDescent="0.3">
      <c r="A26" s="27"/>
      <c r="B26" s="27"/>
      <c r="C26" s="27"/>
      <c r="D26" s="27"/>
      <c r="E26" s="27"/>
      <c r="F26" s="27"/>
      <c r="G26" s="27"/>
      <c r="H26" s="27"/>
      <c r="I26" s="27"/>
      <c r="J26" s="29"/>
    </row>
    <row r="27" spans="1:10" ht="12" customHeight="1" x14ac:dyDescent="0.3">
      <c r="A27" s="27"/>
      <c r="B27" s="21"/>
      <c r="C27" s="37"/>
      <c r="D27" s="37"/>
      <c r="E27" s="37"/>
      <c r="F27" s="37"/>
      <c r="G27" s="37"/>
      <c r="H27" s="38"/>
      <c r="I27" s="23"/>
      <c r="J27" s="27"/>
    </row>
    <row r="28" spans="1:10" ht="20.25" thickBot="1" x14ac:dyDescent="0.35">
      <c r="A28" s="27"/>
      <c r="B28" s="17"/>
      <c r="C28" s="333" t="s">
        <v>152</v>
      </c>
      <c r="D28" s="333"/>
      <c r="E28" s="333"/>
      <c r="F28" s="333"/>
      <c r="G28" s="333"/>
      <c r="H28" s="333"/>
      <c r="I28" s="19"/>
      <c r="J28" s="27"/>
    </row>
    <row r="29" spans="1:10" ht="12" customHeight="1" thickTop="1" x14ac:dyDescent="0.25">
      <c r="A29" s="27"/>
      <c r="B29" s="17"/>
      <c r="C29" s="1"/>
      <c r="D29" s="1"/>
      <c r="E29" s="1"/>
      <c r="F29" s="1"/>
      <c r="G29" s="1"/>
      <c r="H29" s="1"/>
      <c r="I29" s="19"/>
      <c r="J29" s="27"/>
    </row>
    <row r="30" spans="1:10" x14ac:dyDescent="0.25">
      <c r="A30" s="27"/>
      <c r="B30" s="17"/>
      <c r="C30" s="39" t="s">
        <v>146</v>
      </c>
      <c r="D30" s="338" t="s">
        <v>163</v>
      </c>
      <c r="E30" s="338"/>
      <c r="F30" s="338"/>
      <c r="G30" s="338"/>
      <c r="H30" s="338"/>
      <c r="I30" s="19"/>
      <c r="J30" s="27"/>
    </row>
    <row r="31" spans="1:10" ht="18.75" customHeight="1" x14ac:dyDescent="0.25">
      <c r="A31" s="27"/>
      <c r="B31" s="17"/>
      <c r="C31" s="1"/>
      <c r="D31" s="338"/>
      <c r="E31" s="338"/>
      <c r="F31" s="338"/>
      <c r="G31" s="338"/>
      <c r="H31" s="338"/>
      <c r="I31" s="19"/>
      <c r="J31" s="27"/>
    </row>
    <row r="32" spans="1:10" x14ac:dyDescent="0.25">
      <c r="A32" s="27"/>
      <c r="B32" s="17"/>
      <c r="C32" s="40" t="s">
        <v>147</v>
      </c>
      <c r="D32" s="338" t="s">
        <v>164</v>
      </c>
      <c r="E32" s="338"/>
      <c r="F32" s="338"/>
      <c r="G32" s="338"/>
      <c r="H32" s="338"/>
      <c r="I32" s="19"/>
      <c r="J32" s="27"/>
    </row>
    <row r="33" spans="1:10" ht="19.5" customHeight="1" x14ac:dyDescent="0.25">
      <c r="A33" s="27"/>
      <c r="B33" s="17"/>
      <c r="C33" s="1"/>
      <c r="D33" s="338"/>
      <c r="E33" s="338"/>
      <c r="F33" s="338"/>
      <c r="G33" s="338"/>
      <c r="H33" s="338"/>
      <c r="I33" s="19"/>
      <c r="J33" s="27"/>
    </row>
    <row r="34" spans="1:10" x14ac:dyDescent="0.25">
      <c r="A34" s="27"/>
      <c r="B34" s="17"/>
      <c r="C34" s="36" t="s">
        <v>148</v>
      </c>
      <c r="D34" s="338" t="s">
        <v>162</v>
      </c>
      <c r="E34" s="338"/>
      <c r="F34" s="338"/>
      <c r="G34" s="338"/>
      <c r="H34" s="338"/>
      <c r="I34" s="19"/>
      <c r="J34" s="27"/>
    </row>
    <row r="35" spans="1:10" x14ac:dyDescent="0.25">
      <c r="A35" s="27"/>
      <c r="B35" s="17"/>
      <c r="D35" s="338"/>
      <c r="E35" s="338"/>
      <c r="F35" s="338"/>
      <c r="G35" s="338"/>
      <c r="H35" s="338"/>
      <c r="I35" s="19"/>
      <c r="J35" s="27"/>
    </row>
    <row r="36" spans="1:10" ht="20.25" thickBot="1" x14ac:dyDescent="0.35">
      <c r="A36" s="27"/>
      <c r="B36" s="17"/>
      <c r="C36" s="333" t="s">
        <v>149</v>
      </c>
      <c r="D36" s="333"/>
      <c r="E36" s="333"/>
      <c r="F36" s="333"/>
      <c r="G36" s="333"/>
      <c r="H36" s="333"/>
      <c r="I36" s="19"/>
      <c r="J36" s="27"/>
    </row>
    <row r="37" spans="1:10" ht="18.75" customHeight="1" thickTop="1" x14ac:dyDescent="0.25">
      <c r="A37" s="27"/>
      <c r="B37" s="17"/>
      <c r="C37" s="43" t="s">
        <v>150</v>
      </c>
      <c r="D37" s="44">
        <v>1.9</v>
      </c>
      <c r="E37" s="45"/>
      <c r="F37" s="45"/>
      <c r="G37" s="45"/>
      <c r="H37" s="45"/>
      <c r="I37" s="19"/>
      <c r="J37" s="27"/>
    </row>
    <row r="38" spans="1:10" x14ac:dyDescent="0.25">
      <c r="A38" s="27"/>
      <c r="B38" s="17"/>
      <c r="C38" s="43" t="s">
        <v>151</v>
      </c>
      <c r="D38" s="46"/>
      <c r="E38" s="45"/>
      <c r="F38" s="45"/>
      <c r="G38" s="45"/>
      <c r="H38" s="45"/>
      <c r="I38" s="19"/>
      <c r="J38" s="27"/>
    </row>
    <row r="39" spans="1:10" ht="7.5" customHeight="1" x14ac:dyDescent="0.25">
      <c r="A39" s="27"/>
      <c r="B39" s="17"/>
      <c r="C39" s="1"/>
      <c r="D39" s="1"/>
      <c r="E39" s="1"/>
      <c r="F39" s="1"/>
      <c r="G39" s="1"/>
      <c r="H39" s="1"/>
      <c r="I39" s="19"/>
      <c r="J39" s="27"/>
    </row>
    <row r="40" spans="1:10" x14ac:dyDescent="0.25">
      <c r="A40" s="27"/>
      <c r="B40" s="17"/>
      <c r="C40" s="334" t="str">
        <f ca="1">IF(OR(D38="",D38=NOW()),"Please enable data connections to check for potential updates",IF(D37&gt;=D38,"You have the latest version of the MRWA Water Calculator","Please visit www.mrwa.com.au to update to the latest version"))</f>
        <v>Please enable data connections to check for potential updates</v>
      </c>
      <c r="D40" s="335"/>
      <c r="E40" s="335"/>
      <c r="F40" s="335"/>
      <c r="G40" s="335"/>
      <c r="H40" s="336"/>
      <c r="I40" s="19"/>
      <c r="J40" s="27"/>
    </row>
    <row r="41" spans="1:10" ht="15.75" thickBot="1" x14ac:dyDescent="0.3">
      <c r="A41" s="27"/>
      <c r="B41" s="18"/>
      <c r="C41" s="25"/>
      <c r="D41" s="25"/>
      <c r="E41" s="25"/>
      <c r="F41" s="25"/>
      <c r="G41" s="25"/>
      <c r="H41" s="25"/>
      <c r="I41" s="20"/>
      <c r="J41" s="27"/>
    </row>
    <row r="42" spans="1:10" x14ac:dyDescent="0.25">
      <c r="A42" s="27"/>
      <c r="B42" s="27"/>
      <c r="C42" s="27"/>
      <c r="D42" s="27"/>
      <c r="E42" s="27"/>
      <c r="F42" s="27"/>
      <c r="G42" s="27"/>
      <c r="H42" s="27"/>
      <c r="I42" s="27"/>
      <c r="J42" s="29" t="s">
        <v>228</v>
      </c>
    </row>
    <row r="43" spans="1:10" hidden="1" x14ac:dyDescent="0.25"/>
    <row r="44" spans="1:10" hidden="1" x14ac:dyDescent="0.25"/>
    <row r="45" spans="1:10" hidden="1" x14ac:dyDescent="0.25"/>
    <row r="46" spans="1:10" hidden="1" x14ac:dyDescent="0.25"/>
    <row r="47" spans="1:10" hidden="1" x14ac:dyDescent="0.25"/>
    <row r="48" spans="1:10"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sheetData>
  <mergeCells count="17">
    <mergeCell ref="C36:H36"/>
    <mergeCell ref="C40:H40"/>
    <mergeCell ref="C28:H28"/>
    <mergeCell ref="G23:H23"/>
    <mergeCell ref="C22:H22"/>
    <mergeCell ref="D34:H35"/>
    <mergeCell ref="D32:H33"/>
    <mergeCell ref="D30:H31"/>
    <mergeCell ref="A2:J2"/>
    <mergeCell ref="G11:H11"/>
    <mergeCell ref="G7:H7"/>
    <mergeCell ref="G15:H15"/>
    <mergeCell ref="G19:H19"/>
    <mergeCell ref="C6:H6"/>
    <mergeCell ref="C10:H10"/>
    <mergeCell ref="C14:H14"/>
    <mergeCell ref="C18:H18"/>
  </mergeCells>
  <conditionalFormatting sqref="C40:H40">
    <cfRule type="cellIs" dxfId="15" priority="1" stopIfTrue="1" operator="equal">
      <formula>"You have the latest version of the MRWA Water Calculator"</formula>
    </cfRule>
    <cfRule type="cellIs" dxfId="14" priority="2" stopIfTrue="1" operator="equal">
      <formula>"Please visit www.mrwa.com.au to update to the latest version"</formula>
    </cfRule>
    <cfRule type="cellIs" dxfId="13" priority="3" stopIfTrue="1" operator="equal">
      <formula>"Please enable data connections to check for potential updates"</formula>
    </cfRule>
  </conditionalFormatting>
  <hyperlinks>
    <hyperlink ref="G7" location="'Pressure Testing PE Pipe'!A1" display="Open Calculator"/>
    <hyperlink ref="G11" location="'Concrete Thrust Anchorage (Ind)'!A1" display="Open Calculator"/>
    <hyperlink ref="G15" location="'Concrete Thrust Anchorage (Ind)'!A1" display="Open Calculator"/>
    <hyperlink ref="G19" location="'PE Shrinkage Restraint'!A1" display="Open Calculator"/>
    <hyperlink ref="G23" location="'Restrained Main Lengths'!A1" display="Open Calculator"/>
    <hyperlink ref="G11:H11" location="'Concrete Thrust Anchorage(Proj)'!A1" display="Open Calculator"/>
    <hyperlink ref="G15:H15" location="'Concrete Thrust Anchorage(Ind)'!A1" display="Open Calculator"/>
  </hyperlink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66"/>
  <sheetViews>
    <sheetView showGridLines="0" showRowColHeaders="0" zoomScaleNormal="100" workbookViewId="0">
      <pane ySplit="1" topLeftCell="A2" activePane="bottomLeft" state="frozenSplit"/>
      <selection pane="bottomLeft" activeCell="J1" sqref="J1:K1"/>
    </sheetView>
  </sheetViews>
  <sheetFormatPr defaultColWidth="0" defaultRowHeight="15" zeroHeight="1" x14ac:dyDescent="0.25"/>
  <cols>
    <col min="1" max="1" width="4.42578125" style="50" customWidth="1"/>
    <col min="2" max="2" width="18.42578125" style="50" customWidth="1"/>
    <col min="3" max="3" width="15.5703125" style="50" customWidth="1"/>
    <col min="4" max="4" width="6" style="50" customWidth="1"/>
    <col min="5" max="6" width="4.5703125" style="50" customWidth="1"/>
    <col min="7" max="7" width="24" style="50" customWidth="1"/>
    <col min="8" max="8" width="9.7109375" style="50" customWidth="1"/>
    <col min="9" max="9" width="21.28515625" style="50" customWidth="1"/>
    <col min="10" max="10" width="9.140625" style="50" customWidth="1"/>
    <col min="11" max="11" width="0" style="50" hidden="1" customWidth="1"/>
    <col min="12" max="16384" width="9.140625" style="50" hidden="1"/>
  </cols>
  <sheetData>
    <row r="1" spans="1:11" customFormat="1" ht="23.25" x14ac:dyDescent="0.25">
      <c r="A1" s="345" t="s">
        <v>0</v>
      </c>
      <c r="B1" s="345"/>
      <c r="C1" s="345"/>
      <c r="D1" s="345"/>
      <c r="E1" s="345"/>
      <c r="F1" s="345"/>
      <c r="G1" s="345"/>
      <c r="H1" s="345"/>
      <c r="I1" s="345"/>
      <c r="J1" s="346" t="s">
        <v>170</v>
      </c>
      <c r="K1" s="347"/>
    </row>
    <row r="2" spans="1:11" ht="15" customHeight="1" thickBot="1" x14ac:dyDescent="0.3">
      <c r="A2" s="51"/>
      <c r="B2" s="51"/>
      <c r="C2" s="51"/>
      <c r="D2" s="51"/>
      <c r="E2" s="51"/>
      <c r="F2" s="51"/>
      <c r="G2" s="51"/>
      <c r="H2" s="51"/>
      <c r="I2" s="51"/>
      <c r="J2" s="51"/>
    </row>
    <row r="3" spans="1:11" ht="23.25" customHeight="1" x14ac:dyDescent="0.25">
      <c r="A3" s="51"/>
      <c r="B3" s="351" t="s">
        <v>229</v>
      </c>
      <c r="C3" s="352"/>
      <c r="D3" s="352"/>
      <c r="E3" s="353"/>
      <c r="F3" s="51"/>
      <c r="G3" s="351" t="s">
        <v>112</v>
      </c>
      <c r="H3" s="352"/>
      <c r="I3" s="353"/>
      <c r="J3" s="51"/>
    </row>
    <row r="4" spans="1:11" ht="6" customHeight="1" x14ac:dyDescent="0.25">
      <c r="A4" s="51"/>
      <c r="B4" s="52"/>
      <c r="C4" s="49"/>
      <c r="D4" s="49"/>
      <c r="E4" s="53"/>
      <c r="F4" s="51"/>
      <c r="G4" s="52"/>
      <c r="H4" s="49"/>
      <c r="I4" s="53"/>
      <c r="J4" s="51"/>
    </row>
    <row r="5" spans="1:11" ht="15" customHeight="1" x14ac:dyDescent="0.25">
      <c r="A5" s="51"/>
      <c r="B5" s="52" t="s">
        <v>24</v>
      </c>
      <c r="C5" s="54">
        <v>0</v>
      </c>
      <c r="D5" s="49" t="s">
        <v>1</v>
      </c>
      <c r="E5" s="53"/>
      <c r="F5" s="51"/>
      <c r="G5" s="52" t="s">
        <v>25</v>
      </c>
      <c r="H5" s="54">
        <v>0</v>
      </c>
      <c r="I5" s="53" t="s">
        <v>2</v>
      </c>
      <c r="J5" s="51"/>
    </row>
    <row r="6" spans="1:11" ht="9" customHeight="1" x14ac:dyDescent="0.25">
      <c r="A6" s="51"/>
      <c r="B6" s="52"/>
      <c r="C6" s="49"/>
      <c r="D6" s="49"/>
      <c r="E6" s="53"/>
      <c r="F6" s="51"/>
      <c r="G6" s="55"/>
      <c r="H6" s="49"/>
      <c r="I6" s="53"/>
      <c r="J6" s="51"/>
    </row>
    <row r="7" spans="1:11" ht="15" customHeight="1" x14ac:dyDescent="0.25">
      <c r="A7" s="51"/>
      <c r="B7" s="52" t="s">
        <v>180</v>
      </c>
      <c r="C7" s="54">
        <v>0</v>
      </c>
      <c r="D7" s="49" t="s">
        <v>1</v>
      </c>
      <c r="E7" s="53"/>
      <c r="F7" s="51"/>
      <c r="G7" s="52" t="s">
        <v>153</v>
      </c>
      <c r="H7" s="54">
        <v>125</v>
      </c>
      <c r="I7" s="53" t="s">
        <v>91</v>
      </c>
      <c r="J7" s="51"/>
    </row>
    <row r="8" spans="1:11" ht="9" customHeight="1" x14ac:dyDescent="0.25">
      <c r="A8" s="51"/>
      <c r="B8" s="52"/>
      <c r="C8" s="49"/>
      <c r="D8" s="49"/>
      <c r="E8" s="53"/>
      <c r="F8" s="51"/>
      <c r="G8" s="55"/>
      <c r="H8" s="49"/>
      <c r="I8" s="53"/>
      <c r="J8" s="51"/>
    </row>
    <row r="9" spans="1:11" ht="15" customHeight="1" x14ac:dyDescent="0.25">
      <c r="A9" s="51"/>
      <c r="B9" s="52" t="s">
        <v>181</v>
      </c>
      <c r="C9" s="54">
        <v>0</v>
      </c>
      <c r="D9" s="49" t="s">
        <v>1</v>
      </c>
      <c r="E9" s="53"/>
      <c r="F9" s="51"/>
      <c r="G9" s="56" t="s">
        <v>26</v>
      </c>
      <c r="H9" s="54">
        <v>0</v>
      </c>
      <c r="I9" s="53" t="s">
        <v>3</v>
      </c>
      <c r="J9" s="51"/>
    </row>
    <row r="10" spans="1:11" ht="9" customHeight="1" thickBot="1" x14ac:dyDescent="0.3">
      <c r="A10" s="51"/>
      <c r="B10" s="52"/>
      <c r="C10" s="49"/>
      <c r="D10" s="49"/>
      <c r="E10" s="53"/>
      <c r="F10" s="51"/>
      <c r="G10" s="57"/>
      <c r="H10" s="58"/>
      <c r="I10" s="59"/>
      <c r="J10" s="51"/>
    </row>
    <row r="11" spans="1:11" ht="15" customHeight="1" x14ac:dyDescent="0.25">
      <c r="A11" s="51"/>
      <c r="B11" s="52" t="s">
        <v>182</v>
      </c>
      <c r="C11" s="54">
        <v>0</v>
      </c>
      <c r="D11" s="49" t="s">
        <v>1</v>
      </c>
      <c r="E11" s="53"/>
      <c r="F11" s="51"/>
      <c r="G11" s="51"/>
      <c r="H11" s="51"/>
      <c r="I11" s="51"/>
      <c r="J11" s="51"/>
    </row>
    <row r="12" spans="1:11" ht="9" customHeight="1" x14ac:dyDescent="0.25">
      <c r="A12" s="51"/>
      <c r="B12" s="52"/>
      <c r="C12" s="49"/>
      <c r="D12" s="49"/>
      <c r="E12" s="53"/>
      <c r="F12" s="51"/>
      <c r="G12" s="51"/>
      <c r="H12" s="51"/>
      <c r="I12" s="51"/>
      <c r="J12" s="51"/>
    </row>
    <row r="13" spans="1:11" ht="15" customHeight="1" x14ac:dyDescent="0.25">
      <c r="A13" s="51"/>
      <c r="B13" s="52" t="s">
        <v>183</v>
      </c>
      <c r="C13" s="54">
        <v>0</v>
      </c>
      <c r="D13" s="49" t="s">
        <v>1</v>
      </c>
      <c r="E13" s="53"/>
      <c r="F13" s="51"/>
      <c r="G13" s="51"/>
      <c r="H13" s="51"/>
      <c r="I13" s="51"/>
      <c r="J13" s="51"/>
    </row>
    <row r="14" spans="1:11" ht="9" customHeight="1" thickBot="1" x14ac:dyDescent="0.3">
      <c r="A14" s="51"/>
      <c r="B14" s="60"/>
      <c r="C14" s="61"/>
      <c r="D14" s="58"/>
      <c r="E14" s="59"/>
      <c r="F14" s="51"/>
      <c r="G14" s="51"/>
      <c r="H14" s="51"/>
      <c r="I14" s="51"/>
      <c r="J14" s="51"/>
    </row>
    <row r="15" spans="1:11" ht="15" customHeight="1" thickBot="1" x14ac:dyDescent="0.3">
      <c r="A15" s="51"/>
      <c r="B15" s="51"/>
      <c r="C15" s="51"/>
      <c r="D15" s="51"/>
      <c r="E15" s="51"/>
      <c r="F15" s="51"/>
      <c r="G15" s="51"/>
      <c r="H15" s="51"/>
      <c r="I15" s="51"/>
      <c r="J15" s="51"/>
    </row>
    <row r="16" spans="1:11" ht="19.5" customHeight="1" x14ac:dyDescent="0.25">
      <c r="A16" s="51"/>
      <c r="B16" s="351" t="s">
        <v>113</v>
      </c>
      <c r="C16" s="352"/>
      <c r="D16" s="352"/>
      <c r="E16" s="352"/>
      <c r="F16" s="352"/>
      <c r="G16" s="352"/>
      <c r="H16" s="352"/>
      <c r="I16" s="353"/>
      <c r="J16" s="51"/>
    </row>
    <row r="17" spans="1:10" ht="16.5" customHeight="1" x14ac:dyDescent="0.25">
      <c r="A17" s="51"/>
      <c r="B17" s="62" t="s">
        <v>28</v>
      </c>
      <c r="C17" s="329" t="s">
        <v>226</v>
      </c>
      <c r="D17" s="63" t="s">
        <v>27</v>
      </c>
      <c r="E17" s="64" t="s">
        <v>225</v>
      </c>
      <c r="F17" s="65"/>
      <c r="G17" s="66"/>
      <c r="H17" s="49"/>
      <c r="I17" s="53"/>
      <c r="J17" s="51"/>
    </row>
    <row r="18" spans="1:10" ht="16.5" customHeight="1" x14ac:dyDescent="0.25">
      <c r="A18" s="51"/>
      <c r="B18" s="67"/>
      <c r="C18" s="68">
        <f>C13</f>
        <v>0</v>
      </c>
      <c r="D18" s="63" t="str">
        <f>IF(C19&lt;=E19, "≤ ", "≥")</f>
        <v xml:space="preserve">≤ </v>
      </c>
      <c r="E18" s="65" t="str">
        <f>"0.55 x ("&amp;C9&amp;") + (0.14 x "&amp;H5&amp;" x "&amp;H7/1000&amp;" x "&amp;H9&amp;")"</f>
        <v>0.55 x (0) + (0.14 x 0 x 0.125 x 0)</v>
      </c>
      <c r="F18" s="69"/>
      <c r="G18" s="66"/>
      <c r="H18" s="49"/>
      <c r="I18" s="53"/>
      <c r="J18" s="51"/>
    </row>
    <row r="19" spans="1:10" ht="15" customHeight="1" x14ac:dyDescent="0.25">
      <c r="A19" s="51"/>
      <c r="B19" s="70"/>
      <c r="C19" s="71">
        <f>C13</f>
        <v>0</v>
      </c>
      <c r="D19" s="72" t="str">
        <f>IF(C19&lt;=E19, "≤ ", "≥")</f>
        <v xml:space="preserve">≤ </v>
      </c>
      <c r="E19" s="348">
        <f>0.55*(C9)+(0.14*H5*H7*H9/1000)</f>
        <v>0</v>
      </c>
      <c r="F19" s="348"/>
      <c r="G19" s="49"/>
      <c r="H19" s="73"/>
      <c r="I19" s="53"/>
      <c r="J19" s="51"/>
    </row>
    <row r="20" spans="1:10" ht="9.75" customHeight="1" x14ac:dyDescent="0.25">
      <c r="A20" s="51"/>
      <c r="B20" s="74"/>
      <c r="C20" s="49"/>
      <c r="D20" s="49"/>
      <c r="E20" s="49"/>
      <c r="F20" s="49"/>
      <c r="G20" s="73"/>
      <c r="H20" s="73"/>
      <c r="I20" s="53"/>
      <c r="J20" s="51"/>
    </row>
    <row r="21" spans="1:10" ht="15" customHeight="1" x14ac:dyDescent="0.25">
      <c r="A21" s="51"/>
      <c r="B21" s="74"/>
      <c r="C21" s="75" t="s">
        <v>114</v>
      </c>
      <c r="D21" s="349" t="str">
        <f>IF(C19&lt;=E19, "PASS", "FAIL")</f>
        <v>PASS</v>
      </c>
      <c r="E21" s="350"/>
      <c r="F21" s="72"/>
      <c r="G21" s="76"/>
      <c r="H21" s="73"/>
      <c r="I21" s="53"/>
      <c r="J21" s="51"/>
    </row>
    <row r="22" spans="1:10" ht="6" customHeight="1" thickBot="1" x14ac:dyDescent="0.3">
      <c r="A22" s="51"/>
      <c r="B22" s="60"/>
      <c r="C22" s="58"/>
      <c r="D22" s="58"/>
      <c r="E22" s="58"/>
      <c r="F22" s="58"/>
      <c r="G22" s="58"/>
      <c r="H22" s="58"/>
      <c r="I22" s="59"/>
      <c r="J22" s="51"/>
    </row>
    <row r="23" spans="1:10" ht="15" customHeight="1" thickBot="1" x14ac:dyDescent="0.3">
      <c r="A23" s="51"/>
      <c r="B23" s="51"/>
      <c r="C23" s="51"/>
      <c r="D23" s="51"/>
      <c r="E23" s="51"/>
      <c r="F23" s="51"/>
      <c r="G23" s="51"/>
      <c r="H23" s="51"/>
      <c r="I23" s="51"/>
      <c r="J23" s="51"/>
    </row>
    <row r="24" spans="1:10" ht="141" customHeight="1" x14ac:dyDescent="0.25">
      <c r="A24" s="51"/>
      <c r="B24" s="339" t="s">
        <v>230</v>
      </c>
      <c r="C24" s="340"/>
      <c r="D24" s="340"/>
      <c r="E24" s="340"/>
      <c r="F24" s="340"/>
      <c r="G24" s="340"/>
      <c r="H24" s="340"/>
      <c r="I24" s="341"/>
      <c r="J24" s="51"/>
    </row>
    <row r="25" spans="1:10" ht="157.5" customHeight="1" x14ac:dyDescent="0.25">
      <c r="A25" s="51"/>
      <c r="B25" s="342" t="s">
        <v>227</v>
      </c>
      <c r="C25" s="343"/>
      <c r="D25" s="343"/>
      <c r="E25" s="343"/>
      <c r="F25" s="343"/>
      <c r="G25" s="343"/>
      <c r="H25" s="343"/>
      <c r="I25" s="344"/>
      <c r="J25" s="51"/>
    </row>
    <row r="26" spans="1:10" ht="88.5" customHeight="1" x14ac:dyDescent="0.25">
      <c r="A26" s="51"/>
      <c r="B26" s="342" t="s">
        <v>231</v>
      </c>
      <c r="C26" s="343"/>
      <c r="D26" s="343"/>
      <c r="E26" s="343"/>
      <c r="F26" s="343"/>
      <c r="G26" s="343"/>
      <c r="H26" s="343"/>
      <c r="I26" s="344"/>
      <c r="J26" s="51"/>
    </row>
    <row r="27" spans="1:10" ht="96.75" customHeight="1" x14ac:dyDescent="0.25">
      <c r="A27" s="51"/>
      <c r="B27" s="77"/>
      <c r="C27" s="49"/>
      <c r="D27" s="49"/>
      <c r="E27" s="49"/>
      <c r="F27" s="49"/>
      <c r="G27" s="49"/>
      <c r="H27" s="49"/>
      <c r="I27" s="53"/>
      <c r="J27" s="51"/>
    </row>
    <row r="28" spans="1:10" ht="15" customHeight="1" x14ac:dyDescent="0.25">
      <c r="A28" s="51"/>
      <c r="B28" s="77"/>
      <c r="C28" s="49"/>
      <c r="D28" s="49"/>
      <c r="E28" s="49"/>
      <c r="F28" s="49"/>
      <c r="G28" s="49"/>
      <c r="H28" s="49"/>
      <c r="I28" s="53"/>
      <c r="J28" s="51"/>
    </row>
    <row r="29" spans="1:10" ht="15" customHeight="1" x14ac:dyDescent="0.25">
      <c r="A29" s="51"/>
      <c r="B29" s="77"/>
      <c r="C29" s="49"/>
      <c r="D29" s="49"/>
      <c r="E29" s="49"/>
      <c r="F29" s="49"/>
      <c r="G29" s="49"/>
      <c r="H29" s="49"/>
      <c r="I29" s="53"/>
      <c r="J29" s="51"/>
    </row>
    <row r="30" spans="1:10" ht="15" customHeight="1" x14ac:dyDescent="0.25">
      <c r="A30" s="51"/>
      <c r="B30" s="77"/>
      <c r="C30" s="49"/>
      <c r="D30" s="49"/>
      <c r="E30" s="49"/>
      <c r="F30" s="49"/>
      <c r="G30" s="49"/>
      <c r="H30" s="49"/>
      <c r="I30" s="53"/>
      <c r="J30" s="51"/>
    </row>
    <row r="31" spans="1:10" ht="15" customHeight="1" x14ac:dyDescent="0.25">
      <c r="A31" s="51"/>
      <c r="B31" s="77"/>
      <c r="C31" s="49"/>
      <c r="D31" s="49"/>
      <c r="E31" s="49"/>
      <c r="F31" s="49"/>
      <c r="G31" s="49"/>
      <c r="H31" s="49"/>
      <c r="I31" s="53"/>
      <c r="J31" s="51"/>
    </row>
    <row r="32" spans="1:10" ht="15" customHeight="1" x14ac:dyDescent="0.25">
      <c r="A32" s="51"/>
      <c r="B32" s="77"/>
      <c r="C32" s="49"/>
      <c r="D32" s="49"/>
      <c r="E32" s="49"/>
      <c r="F32" s="49"/>
      <c r="G32" s="49"/>
      <c r="H32" s="49"/>
      <c r="I32" s="53"/>
      <c r="J32" s="51"/>
    </row>
    <row r="33" spans="1:10" ht="15" customHeight="1" x14ac:dyDescent="0.25">
      <c r="A33" s="51"/>
      <c r="B33" s="77"/>
      <c r="C33" s="49"/>
      <c r="D33" s="49"/>
      <c r="E33" s="49"/>
      <c r="F33" s="49"/>
      <c r="G33" s="49"/>
      <c r="H33" s="49"/>
      <c r="I33" s="53"/>
      <c r="J33" s="51"/>
    </row>
    <row r="34" spans="1:10" ht="15" customHeight="1" x14ac:dyDescent="0.25">
      <c r="A34" s="51"/>
      <c r="B34" s="77"/>
      <c r="C34" s="49"/>
      <c r="D34" s="49"/>
      <c r="E34" s="49"/>
      <c r="F34" s="49"/>
      <c r="G34" s="49"/>
      <c r="H34" s="49"/>
      <c r="I34" s="53"/>
      <c r="J34" s="51"/>
    </row>
    <row r="35" spans="1:10" ht="15" customHeight="1" x14ac:dyDescent="0.25">
      <c r="A35" s="51"/>
      <c r="B35" s="77"/>
      <c r="C35" s="49"/>
      <c r="D35" s="49"/>
      <c r="E35" s="49"/>
      <c r="F35" s="49"/>
      <c r="G35" s="49"/>
      <c r="H35" s="49"/>
      <c r="I35" s="53"/>
      <c r="J35" s="51"/>
    </row>
    <row r="36" spans="1:10" ht="15" customHeight="1" x14ac:dyDescent="0.25">
      <c r="A36" s="51"/>
      <c r="B36" s="77"/>
      <c r="C36" s="49"/>
      <c r="D36" s="49"/>
      <c r="E36" s="49"/>
      <c r="F36" s="49"/>
      <c r="G36" s="49"/>
      <c r="H36" s="49"/>
      <c r="I36" s="53"/>
      <c r="J36" s="51"/>
    </row>
    <row r="37" spans="1:10" ht="15" customHeight="1" x14ac:dyDescent="0.25">
      <c r="A37" s="51"/>
      <c r="B37" s="77"/>
      <c r="C37" s="49"/>
      <c r="D37" s="49"/>
      <c r="E37" s="49"/>
      <c r="F37" s="49"/>
      <c r="G37" s="49"/>
      <c r="H37" s="49"/>
      <c r="I37" s="53"/>
      <c r="J37" s="51"/>
    </row>
    <row r="38" spans="1:10" ht="15" customHeight="1" x14ac:dyDescent="0.25">
      <c r="A38" s="51"/>
      <c r="B38" s="77"/>
      <c r="C38" s="49"/>
      <c r="D38" s="49"/>
      <c r="E38" s="49"/>
      <c r="F38" s="49"/>
      <c r="G38" s="49"/>
      <c r="H38" s="49"/>
      <c r="I38" s="53"/>
      <c r="J38" s="51"/>
    </row>
    <row r="39" spans="1:10" ht="15" customHeight="1" x14ac:dyDescent="0.25">
      <c r="A39" s="51"/>
      <c r="B39" s="77"/>
      <c r="C39" s="49"/>
      <c r="D39" s="49"/>
      <c r="E39" s="49"/>
      <c r="F39" s="49"/>
      <c r="G39" s="49"/>
      <c r="H39" s="49"/>
      <c r="I39" s="53"/>
      <c r="J39" s="51"/>
    </row>
    <row r="40" spans="1:10" ht="15" customHeight="1" x14ac:dyDescent="0.25">
      <c r="A40" s="51"/>
      <c r="B40" s="77"/>
      <c r="C40" s="49"/>
      <c r="D40" s="49"/>
      <c r="E40" s="49"/>
      <c r="F40" s="49"/>
      <c r="G40" s="49"/>
      <c r="H40" s="49"/>
      <c r="I40" s="53"/>
      <c r="J40" s="51"/>
    </row>
    <row r="41" spans="1:10" ht="15" customHeight="1" x14ac:dyDescent="0.25">
      <c r="A41" s="51"/>
      <c r="B41" s="77"/>
      <c r="C41" s="49"/>
      <c r="D41" s="49"/>
      <c r="E41" s="49"/>
      <c r="F41" s="49"/>
      <c r="G41" s="49"/>
      <c r="H41" s="49"/>
      <c r="I41" s="53"/>
      <c r="J41" s="51"/>
    </row>
    <row r="42" spans="1:10" ht="15" customHeight="1" x14ac:dyDescent="0.25">
      <c r="A42" s="51"/>
      <c r="B42" s="77"/>
      <c r="C42" s="49"/>
      <c r="D42" s="49"/>
      <c r="E42" s="49"/>
      <c r="F42" s="49"/>
      <c r="G42" s="49"/>
      <c r="H42" s="49"/>
      <c r="I42" s="53"/>
      <c r="J42" s="51"/>
    </row>
    <row r="43" spans="1:10" ht="15" customHeight="1" x14ac:dyDescent="0.25">
      <c r="A43" s="51"/>
      <c r="B43" s="77"/>
      <c r="C43" s="49"/>
      <c r="D43" s="49"/>
      <c r="E43" s="49"/>
      <c r="F43" s="49"/>
      <c r="G43" s="49"/>
      <c r="H43" s="49"/>
      <c r="I43" s="53"/>
      <c r="J43" s="51"/>
    </row>
    <row r="44" spans="1:10" ht="15" customHeight="1" x14ac:dyDescent="0.25">
      <c r="A44" s="51"/>
      <c r="B44" s="77"/>
      <c r="C44" s="49"/>
      <c r="D44" s="49"/>
      <c r="E44" s="49"/>
      <c r="F44" s="49"/>
      <c r="G44" s="49"/>
      <c r="H44" s="49"/>
      <c r="I44" s="53"/>
      <c r="J44" s="51"/>
    </row>
    <row r="45" spans="1:10" ht="15" customHeight="1" x14ac:dyDescent="0.25">
      <c r="A45" s="51"/>
      <c r="B45" s="77"/>
      <c r="C45" s="49"/>
      <c r="D45" s="49"/>
      <c r="E45" s="49"/>
      <c r="F45" s="49"/>
      <c r="G45" s="49"/>
      <c r="H45" s="49"/>
      <c r="I45" s="53"/>
      <c r="J45" s="51"/>
    </row>
    <row r="46" spans="1:10" x14ac:dyDescent="0.25">
      <c r="A46" s="51"/>
      <c r="B46" s="77"/>
      <c r="C46" s="49"/>
      <c r="D46" s="49"/>
      <c r="E46" s="49"/>
      <c r="F46" s="49"/>
      <c r="G46" s="49"/>
      <c r="H46" s="49"/>
      <c r="I46" s="53"/>
      <c r="J46" s="51"/>
    </row>
    <row r="47" spans="1:10" x14ac:dyDescent="0.25">
      <c r="A47" s="51"/>
      <c r="B47" s="77"/>
      <c r="C47" s="49"/>
      <c r="D47" s="49"/>
      <c r="E47" s="49"/>
      <c r="F47" s="49"/>
      <c r="G47" s="49"/>
      <c r="H47" s="49"/>
      <c r="I47" s="53"/>
      <c r="J47" s="51"/>
    </row>
    <row r="48" spans="1:10" x14ac:dyDescent="0.25">
      <c r="A48" s="51"/>
      <c r="B48" s="77"/>
      <c r="C48" s="49"/>
      <c r="D48" s="49"/>
      <c r="E48" s="49"/>
      <c r="F48" s="49"/>
      <c r="G48" s="49"/>
      <c r="H48" s="49"/>
      <c r="I48" s="53"/>
      <c r="J48" s="51"/>
    </row>
    <row r="49" spans="1:10" x14ac:dyDescent="0.25">
      <c r="A49" s="51"/>
      <c r="B49" s="77"/>
      <c r="C49" s="49"/>
      <c r="D49" s="49"/>
      <c r="E49" s="49"/>
      <c r="F49" s="49"/>
      <c r="G49" s="49"/>
      <c r="H49" s="49"/>
      <c r="I49" s="53"/>
      <c r="J49" s="51"/>
    </row>
    <row r="50" spans="1:10" x14ac:dyDescent="0.25">
      <c r="A50" s="51"/>
      <c r="B50" s="77"/>
      <c r="C50" s="49"/>
      <c r="D50" s="49"/>
      <c r="E50" s="49"/>
      <c r="F50" s="49"/>
      <c r="G50" s="49"/>
      <c r="H50" s="49"/>
      <c r="I50" s="53"/>
      <c r="J50" s="51"/>
    </row>
    <row r="51" spans="1:10" ht="15.75" thickBot="1" x14ac:dyDescent="0.3">
      <c r="A51" s="51"/>
      <c r="B51" s="60"/>
      <c r="C51" s="58"/>
      <c r="D51" s="58"/>
      <c r="E51" s="58"/>
      <c r="F51" s="58"/>
      <c r="G51" s="58"/>
      <c r="H51" s="58"/>
      <c r="I51" s="59"/>
      <c r="J51" s="51"/>
    </row>
    <row r="52" spans="1:10" x14ac:dyDescent="0.25">
      <c r="A52" s="51"/>
      <c r="B52" s="51"/>
      <c r="C52" s="51"/>
      <c r="D52" s="51"/>
      <c r="E52" s="51"/>
      <c r="F52" s="51"/>
      <c r="G52" s="51"/>
      <c r="H52" s="51"/>
      <c r="I52" s="51"/>
      <c r="J52" s="29" t="s">
        <v>228</v>
      </c>
    </row>
    <row r="53" spans="1:10" hidden="1" x14ac:dyDescent="0.25"/>
    <row r="54" spans="1:10" hidden="1" x14ac:dyDescent="0.25"/>
    <row r="55" spans="1:10" hidden="1" x14ac:dyDescent="0.25"/>
    <row r="56" spans="1:10" hidden="1" x14ac:dyDescent="0.25"/>
    <row r="57" spans="1:10" hidden="1" x14ac:dyDescent="0.25"/>
    <row r="58" spans="1:10" hidden="1" x14ac:dyDescent="0.25"/>
    <row r="59" spans="1:10" hidden="1" x14ac:dyDescent="0.25"/>
    <row r="60" spans="1:10" hidden="1" x14ac:dyDescent="0.25"/>
    <row r="61" spans="1:10" hidden="1" x14ac:dyDescent="0.25"/>
    <row r="62" spans="1:10" hidden="1" x14ac:dyDescent="0.25"/>
    <row r="63" spans="1:10" hidden="1" x14ac:dyDescent="0.25"/>
    <row r="64" spans="1:10" hidden="1" x14ac:dyDescent="0.25"/>
    <row r="65" hidden="1" x14ac:dyDescent="0.25"/>
    <row r="66" hidden="1" x14ac:dyDescent="0.25"/>
  </sheetData>
  <sheetProtection password="C985" sheet="1" objects="1" scenarios="1"/>
  <protectedRanges>
    <protectedRange sqref="C5 C7 C9 C11 C13 H9 H7 H5 H11" name="Range1_1"/>
  </protectedRanges>
  <mergeCells count="10">
    <mergeCell ref="B24:I24"/>
    <mergeCell ref="B26:I26"/>
    <mergeCell ref="B25:I25"/>
    <mergeCell ref="A1:I1"/>
    <mergeCell ref="J1:K1"/>
    <mergeCell ref="E19:F19"/>
    <mergeCell ref="D21:E21"/>
    <mergeCell ref="B3:E3"/>
    <mergeCell ref="G3:I3"/>
    <mergeCell ref="B16:I16"/>
  </mergeCells>
  <conditionalFormatting sqref="D18:D19 D21:F21">
    <cfRule type="cellIs" dxfId="12" priority="1" stopIfTrue="1" operator="equal">
      <formula>"FAIL"</formula>
    </cfRule>
    <cfRule type="cellIs" dxfId="11" priority="2" stopIfTrue="1" operator="equal">
      <formula>"PASS"</formula>
    </cfRule>
  </conditionalFormatting>
  <hyperlinks>
    <hyperlink ref="J1:K1" location="Dashboard!A1" display="Menu"/>
  </hyperlinks>
  <pageMargins left="0.7" right="0.7" top="0.75" bottom="0.75" header="0.3" footer="0.3"/>
  <pageSetup paperSize="9" orientation="portrait" verticalDpi="0" r:id="rId1"/>
  <drawing r:id="rId2"/>
  <extLst>
    <ext xmlns:x14="http://schemas.microsoft.com/office/spreadsheetml/2009/9/main" uri="{CCE6A557-97BC-4b89-ADB6-D9C93CAAB3DF}">
      <x14:dataValidations xmlns:xm="http://schemas.microsoft.com/office/excel/2006/main" count="1">
        <x14:dataValidation type="list" operator="lessThanOrEqual" allowBlank="1" showErrorMessage="1" error="You have entered a pipe size greater then 2 metres." promptTitle="Diameter of PE Pipe" prompt="This input must be in metres">
          <x14:formula1>
            <xm:f>Settings!H5:H11</xm:f>
          </x14:formula1>
          <xm:sqref>H7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M154"/>
  <sheetViews>
    <sheetView showGridLines="0" showRowColHeaders="0" zoomScaleNormal="100" workbookViewId="0">
      <pane ySplit="14" topLeftCell="A15" activePane="bottomLeft" state="frozen"/>
      <selection pane="bottomLeft" activeCell="L1" sqref="L1:M1"/>
    </sheetView>
  </sheetViews>
  <sheetFormatPr defaultColWidth="0" defaultRowHeight="0" customHeight="1" zeroHeight="1" x14ac:dyDescent="0.25"/>
  <cols>
    <col min="1" max="1" width="5.85546875" style="78" customWidth="1"/>
    <col min="2" max="2" width="3" style="78" customWidth="1"/>
    <col min="3" max="3" width="14.7109375" style="78" customWidth="1"/>
    <col min="4" max="4" width="15.85546875" style="78" bestFit="1" customWidth="1"/>
    <col min="5" max="5" width="12.140625" style="78" customWidth="1"/>
    <col min="6" max="6" width="12.42578125" style="78" customWidth="1"/>
    <col min="7" max="7" width="10" style="78" customWidth="1"/>
    <col min="8" max="8" width="14" style="78" customWidth="1"/>
    <col min="9" max="9" width="13.28515625" style="78" customWidth="1"/>
    <col min="10" max="10" width="9.140625" style="78" customWidth="1"/>
    <col min="11" max="11" width="2.5703125" style="78" customWidth="1"/>
    <col min="12" max="12" width="9.140625" style="78" customWidth="1"/>
    <col min="13" max="16384" width="9.140625" style="78" hidden="1"/>
  </cols>
  <sheetData>
    <row r="1" spans="1:13" ht="23.25" customHeight="1" x14ac:dyDescent="0.25">
      <c r="A1" s="355" t="s">
        <v>51</v>
      </c>
      <c r="B1" s="355"/>
      <c r="C1" s="355"/>
      <c r="D1" s="355"/>
      <c r="E1" s="355"/>
      <c r="F1" s="355"/>
      <c r="G1" s="355"/>
      <c r="H1" s="355"/>
      <c r="I1" s="355"/>
      <c r="J1" s="355"/>
      <c r="K1" s="79"/>
      <c r="L1" s="346" t="s">
        <v>170</v>
      </c>
      <c r="M1" s="347"/>
    </row>
    <row r="2" spans="1:13" ht="8.25" customHeight="1" thickBot="1" x14ac:dyDescent="0.3">
      <c r="A2" s="51"/>
      <c r="B2" s="51"/>
      <c r="C2" s="51"/>
      <c r="D2" s="51"/>
      <c r="E2" s="51"/>
      <c r="F2" s="51"/>
      <c r="G2" s="51"/>
      <c r="H2" s="51"/>
      <c r="I2" s="51"/>
      <c r="J2" s="51"/>
      <c r="K2" s="51"/>
      <c r="L2" s="51"/>
    </row>
    <row r="3" spans="1:13" ht="7.5" customHeight="1" x14ac:dyDescent="0.25">
      <c r="A3" s="51"/>
      <c r="B3" s="80"/>
      <c r="C3" s="81"/>
      <c r="D3" s="81"/>
      <c r="E3" s="81"/>
      <c r="F3" s="81"/>
      <c r="G3" s="81"/>
      <c r="H3" s="82"/>
      <c r="I3" s="82"/>
      <c r="J3" s="82"/>
      <c r="K3" s="83"/>
      <c r="L3" s="51"/>
    </row>
    <row r="4" spans="1:13" ht="15" customHeight="1" x14ac:dyDescent="0.25">
      <c r="A4" s="51"/>
      <c r="B4" s="84"/>
      <c r="C4" s="354" t="s">
        <v>116</v>
      </c>
      <c r="D4" s="354"/>
      <c r="E4" s="354"/>
      <c r="F4" s="354"/>
      <c r="G4" s="354"/>
      <c r="H4" s="354"/>
      <c r="I4" s="354"/>
      <c r="J4" s="354"/>
      <c r="K4" s="85"/>
      <c r="L4" s="51"/>
    </row>
    <row r="5" spans="1:13" ht="7.5" customHeight="1" x14ac:dyDescent="0.25">
      <c r="A5" s="51"/>
      <c r="B5" s="84"/>
      <c r="C5" s="86"/>
      <c r="D5" s="86"/>
      <c r="E5" s="86"/>
      <c r="F5" s="86"/>
      <c r="G5" s="86"/>
      <c r="H5" s="87"/>
      <c r="I5" s="87"/>
      <c r="J5" s="87"/>
      <c r="K5" s="85"/>
      <c r="L5" s="51"/>
    </row>
    <row r="6" spans="1:13" ht="15" customHeight="1" x14ac:dyDescent="0.25">
      <c r="A6" s="51"/>
      <c r="B6" s="84"/>
      <c r="C6" s="86"/>
      <c r="D6" s="88"/>
      <c r="E6" s="89" t="s">
        <v>53</v>
      </c>
      <c r="F6" s="90">
        <v>50</v>
      </c>
      <c r="H6" s="88"/>
      <c r="I6" s="89" t="s">
        <v>57</v>
      </c>
      <c r="J6" s="265">
        <f>F8+F10-F12</f>
        <v>95</v>
      </c>
      <c r="K6" s="85"/>
      <c r="L6" s="51"/>
    </row>
    <row r="7" spans="1:13" ht="7.5" customHeight="1" x14ac:dyDescent="0.25">
      <c r="A7" s="51"/>
      <c r="B7" s="84"/>
      <c r="C7" s="86"/>
      <c r="D7" s="88"/>
      <c r="E7" s="89"/>
      <c r="F7" s="91"/>
      <c r="H7" s="88"/>
      <c r="I7" s="89"/>
      <c r="J7" s="95"/>
      <c r="K7" s="85"/>
      <c r="L7" s="51"/>
    </row>
    <row r="8" spans="1:13" ht="15" customHeight="1" x14ac:dyDescent="0.25">
      <c r="A8" s="51"/>
      <c r="B8" s="84"/>
      <c r="C8" s="86"/>
      <c r="D8" s="88"/>
      <c r="E8" s="89" t="s">
        <v>54</v>
      </c>
      <c r="F8" s="92">
        <v>80</v>
      </c>
      <c r="H8" s="88"/>
      <c r="I8" s="89" t="s">
        <v>58</v>
      </c>
      <c r="J8" s="98">
        <v>1.25</v>
      </c>
      <c r="K8" s="94"/>
      <c r="L8" s="51"/>
    </row>
    <row r="9" spans="1:13" ht="7.5" customHeight="1" x14ac:dyDescent="0.25">
      <c r="A9" s="51"/>
      <c r="B9" s="84"/>
      <c r="C9" s="86"/>
      <c r="D9" s="88"/>
      <c r="E9" s="89"/>
      <c r="F9" s="91"/>
      <c r="H9" s="88"/>
      <c r="I9" s="89"/>
      <c r="J9" s="95"/>
      <c r="K9" s="94"/>
      <c r="L9" s="51"/>
    </row>
    <row r="10" spans="1:13" ht="15" customHeight="1" x14ac:dyDescent="0.25">
      <c r="A10" s="51"/>
      <c r="B10" s="84"/>
      <c r="C10" s="86"/>
      <c r="D10" s="88"/>
      <c r="E10" s="89" t="s">
        <v>55</v>
      </c>
      <c r="F10" s="266">
        <v>20</v>
      </c>
      <c r="H10" s="88"/>
      <c r="I10" s="89" t="s">
        <v>59</v>
      </c>
      <c r="J10" s="98">
        <v>1000</v>
      </c>
      <c r="K10" s="94"/>
      <c r="L10" s="51"/>
    </row>
    <row r="11" spans="1:13" ht="7.5" customHeight="1" x14ac:dyDescent="0.25">
      <c r="A11" s="51"/>
      <c r="B11" s="84"/>
      <c r="C11" s="86"/>
      <c r="D11" s="88"/>
      <c r="E11" s="89"/>
      <c r="F11" s="91"/>
      <c r="H11" s="88"/>
      <c r="I11" s="89"/>
      <c r="J11" s="99"/>
      <c r="K11" s="94"/>
      <c r="L11" s="51"/>
    </row>
    <row r="12" spans="1:13" ht="15" customHeight="1" x14ac:dyDescent="0.25">
      <c r="A12" s="51"/>
      <c r="B12" s="84"/>
      <c r="C12" s="86"/>
      <c r="D12" s="88"/>
      <c r="E12" s="89" t="s">
        <v>56</v>
      </c>
      <c r="F12" s="266">
        <v>5</v>
      </c>
      <c r="H12" s="88"/>
      <c r="I12" s="89" t="s">
        <v>60</v>
      </c>
      <c r="J12" s="265">
        <f>IF(J6="","",+IF((J6*J8*10)&gt;J10,(J6*J8*10),J10))</f>
        <v>1187.5</v>
      </c>
      <c r="K12" s="94"/>
      <c r="L12" s="51"/>
    </row>
    <row r="13" spans="1:13" ht="7.5" customHeight="1" x14ac:dyDescent="0.25">
      <c r="A13" s="51"/>
      <c r="B13" s="84"/>
      <c r="C13" s="86"/>
      <c r="D13" s="88"/>
      <c r="E13" s="88"/>
      <c r="F13" s="88"/>
      <c r="G13" s="89"/>
      <c r="H13" s="95"/>
      <c r="I13" s="96"/>
      <c r="J13" s="95"/>
      <c r="K13" s="97"/>
      <c r="L13" s="51"/>
    </row>
    <row r="14" spans="1:13" ht="7.5" customHeight="1" thickBot="1" x14ac:dyDescent="0.3">
      <c r="A14" s="51"/>
      <c r="B14" s="57"/>
      <c r="C14" s="100"/>
      <c r="D14" s="100"/>
      <c r="E14" s="100"/>
      <c r="F14" s="100"/>
      <c r="G14" s="100"/>
      <c r="H14" s="101"/>
      <c r="I14" s="102"/>
      <c r="J14" s="102"/>
      <c r="K14" s="103"/>
      <c r="L14" s="51"/>
    </row>
    <row r="15" spans="1:13" ht="15.75" thickBot="1" x14ac:dyDescent="0.3">
      <c r="A15" s="51"/>
      <c r="B15" s="51"/>
      <c r="C15" s="51"/>
      <c r="D15" s="51"/>
      <c r="E15" s="51"/>
      <c r="F15" s="51"/>
      <c r="G15" s="51"/>
      <c r="H15" s="51"/>
      <c r="I15" s="51"/>
      <c r="J15" s="51"/>
      <c r="K15" s="51"/>
      <c r="L15" s="51"/>
    </row>
    <row r="16" spans="1:13" ht="15" x14ac:dyDescent="0.25">
      <c r="A16" s="51"/>
      <c r="B16" s="80"/>
      <c r="C16" s="104" t="s">
        <v>118</v>
      </c>
      <c r="D16" s="105"/>
      <c r="E16" s="106"/>
      <c r="F16" s="105"/>
      <c r="G16" s="107"/>
      <c r="H16" s="107"/>
      <c r="I16" s="106"/>
      <c r="J16" s="106"/>
      <c r="K16" s="108"/>
      <c r="L16" s="51"/>
    </row>
    <row r="17" spans="1:12" ht="15.75" thickBot="1" x14ac:dyDescent="0.3">
      <c r="A17" s="51"/>
      <c r="B17" s="84"/>
      <c r="C17" s="109" t="s">
        <v>7</v>
      </c>
      <c r="D17" s="93"/>
      <c r="E17" s="93"/>
      <c r="F17" s="93"/>
      <c r="G17" s="93"/>
      <c r="H17" s="93"/>
      <c r="I17" s="93"/>
      <c r="J17" s="93"/>
      <c r="K17" s="94"/>
      <c r="L17" s="51"/>
    </row>
    <row r="18" spans="1:12" ht="38.25" customHeight="1" thickBot="1" x14ac:dyDescent="0.3">
      <c r="A18" s="51"/>
      <c r="B18" s="84"/>
      <c r="C18" s="110" t="s">
        <v>8</v>
      </c>
      <c r="D18" s="111" t="s">
        <v>12</v>
      </c>
      <c r="E18" s="112" t="s">
        <v>6</v>
      </c>
      <c r="F18" s="112" t="s">
        <v>179</v>
      </c>
      <c r="G18" s="112" t="s">
        <v>10</v>
      </c>
      <c r="H18" s="112" t="s">
        <v>11</v>
      </c>
      <c r="I18" s="113"/>
      <c r="J18" s="113"/>
      <c r="K18" s="94"/>
      <c r="L18" s="51"/>
    </row>
    <row r="19" spans="1:12" ht="15" x14ac:dyDescent="0.25">
      <c r="A19" s="51"/>
      <c r="B19" s="84"/>
      <c r="C19" s="90"/>
      <c r="D19" s="90">
        <v>100</v>
      </c>
      <c r="E19" s="228">
        <f t="shared" ref="E19:E29" si="0">IF(D19="","",$J$12)</f>
        <v>1187.5</v>
      </c>
      <c r="F19" s="228">
        <f t="shared" ref="F19:F29" si="1">IF(D19="","",IF(ISNA(VLOOKUP(D19,PipeSizes,2,FALSE)),D19,VLOOKUP(D19,PipeSizes,2,FALSE)))</f>
        <v>122</v>
      </c>
      <c r="G19" s="114">
        <f>IF(D19="","",SUM(0.0000077*E19/10)*(F19^2))</f>
        <v>13.609557500000001</v>
      </c>
      <c r="H19" s="115">
        <f t="shared" ref="H19:H29" si="2">IF(G19="","",+IF((G19/$F$6)&gt;0.18,(G19/$F$6),"Timber Block"))</f>
        <v>0.27219115000000005</v>
      </c>
      <c r="I19" s="116"/>
      <c r="J19" s="116"/>
      <c r="K19" s="94"/>
      <c r="L19" s="51"/>
    </row>
    <row r="20" spans="1:12" ht="15" x14ac:dyDescent="0.25">
      <c r="A20" s="51"/>
      <c r="B20" s="84"/>
      <c r="C20" s="90"/>
      <c r="D20" s="90">
        <v>150</v>
      </c>
      <c r="E20" s="228">
        <f t="shared" si="0"/>
        <v>1187.5</v>
      </c>
      <c r="F20" s="228">
        <f t="shared" si="1"/>
        <v>177</v>
      </c>
      <c r="G20" s="114">
        <f t="shared" ref="G20:G29" si="3">IF(D20="","",SUM(0.0000077*E20/10)*(F20^2))</f>
        <v>28.646454375000001</v>
      </c>
      <c r="H20" s="115">
        <f t="shared" si="2"/>
        <v>0.57292908750000004</v>
      </c>
      <c r="I20" s="116"/>
      <c r="J20" s="116"/>
      <c r="K20" s="94"/>
      <c r="L20" s="51"/>
    </row>
    <row r="21" spans="1:12" ht="15" x14ac:dyDescent="0.25">
      <c r="A21" s="51"/>
      <c r="B21" s="84"/>
      <c r="C21" s="90"/>
      <c r="D21" s="90">
        <v>225</v>
      </c>
      <c r="E21" s="228">
        <f t="shared" si="0"/>
        <v>1187.5</v>
      </c>
      <c r="F21" s="228">
        <f t="shared" si="1"/>
        <v>259</v>
      </c>
      <c r="G21" s="114">
        <f t="shared" si="3"/>
        <v>61.337189375000001</v>
      </c>
      <c r="H21" s="115">
        <f t="shared" si="2"/>
        <v>1.2267437875</v>
      </c>
      <c r="I21" s="116"/>
      <c r="J21" s="116"/>
      <c r="K21" s="94"/>
      <c r="L21" s="51"/>
    </row>
    <row r="22" spans="1:12" ht="15" x14ac:dyDescent="0.25">
      <c r="A22" s="51"/>
      <c r="B22" s="84"/>
      <c r="C22" s="90"/>
      <c r="D22" s="90">
        <v>300</v>
      </c>
      <c r="E22" s="228">
        <f t="shared" si="0"/>
        <v>1187.5</v>
      </c>
      <c r="F22" s="228">
        <f t="shared" si="1"/>
        <v>345</v>
      </c>
      <c r="G22" s="114">
        <f t="shared" si="3"/>
        <v>108.83348437500001</v>
      </c>
      <c r="H22" s="115">
        <f t="shared" si="2"/>
        <v>2.1766696875000004</v>
      </c>
      <c r="I22" s="116"/>
      <c r="J22" s="116"/>
      <c r="K22" s="94"/>
      <c r="L22" s="51"/>
    </row>
    <row r="23" spans="1:12" ht="15" x14ac:dyDescent="0.25">
      <c r="A23" s="51"/>
      <c r="B23" s="84"/>
      <c r="C23" s="90"/>
      <c r="D23" s="90">
        <v>375</v>
      </c>
      <c r="E23" s="228">
        <f t="shared" si="0"/>
        <v>1187.5</v>
      </c>
      <c r="F23" s="228">
        <f t="shared" si="1"/>
        <v>426</v>
      </c>
      <c r="G23" s="114">
        <f t="shared" si="3"/>
        <v>165.9371175</v>
      </c>
      <c r="H23" s="115">
        <f t="shared" si="2"/>
        <v>3.31874235</v>
      </c>
      <c r="I23" s="116"/>
      <c r="J23" s="116"/>
      <c r="K23" s="94"/>
      <c r="L23" s="51"/>
    </row>
    <row r="24" spans="1:12" ht="15" x14ac:dyDescent="0.25">
      <c r="A24" s="51"/>
      <c r="B24" s="84"/>
      <c r="C24" s="90"/>
      <c r="D24" s="90">
        <v>450</v>
      </c>
      <c r="E24" s="228">
        <f t="shared" si="0"/>
        <v>1187.5</v>
      </c>
      <c r="F24" s="228">
        <f t="shared" si="1"/>
        <v>507</v>
      </c>
      <c r="G24" s="114">
        <f t="shared" si="3"/>
        <v>235.039179375</v>
      </c>
      <c r="H24" s="115">
        <f t="shared" si="2"/>
        <v>4.7007835875000001</v>
      </c>
      <c r="I24" s="116"/>
      <c r="J24" s="116"/>
      <c r="K24" s="94"/>
      <c r="L24" s="51"/>
    </row>
    <row r="25" spans="1:12" ht="15" x14ac:dyDescent="0.25">
      <c r="A25" s="51"/>
      <c r="B25" s="84"/>
      <c r="C25" s="90"/>
      <c r="D25" s="90">
        <v>600</v>
      </c>
      <c r="E25" s="228">
        <f t="shared" si="0"/>
        <v>1187.5</v>
      </c>
      <c r="F25" s="228">
        <f t="shared" si="1"/>
        <v>667</v>
      </c>
      <c r="G25" s="114">
        <f t="shared" si="3"/>
        <v>406.79537937500004</v>
      </c>
      <c r="H25" s="115">
        <f t="shared" si="2"/>
        <v>8.1359075875000002</v>
      </c>
      <c r="I25" s="116"/>
      <c r="J25" s="116"/>
      <c r="K25" s="94"/>
      <c r="L25" s="51"/>
    </row>
    <row r="26" spans="1:12" ht="15" x14ac:dyDescent="0.25">
      <c r="A26" s="51"/>
      <c r="B26" s="84"/>
      <c r="C26" s="90"/>
      <c r="D26" s="90">
        <v>750</v>
      </c>
      <c r="E26" s="228">
        <f t="shared" si="0"/>
        <v>1187.5</v>
      </c>
      <c r="F26" s="228">
        <f t="shared" si="1"/>
        <v>826</v>
      </c>
      <c r="G26" s="114">
        <f t="shared" si="3"/>
        <v>623.85611749999998</v>
      </c>
      <c r="H26" s="115">
        <f t="shared" si="2"/>
        <v>12.47712235</v>
      </c>
      <c r="I26" s="116"/>
      <c r="J26" s="116"/>
      <c r="K26" s="94"/>
      <c r="L26" s="51"/>
    </row>
    <row r="27" spans="1:12" ht="15" x14ac:dyDescent="0.25">
      <c r="A27" s="51"/>
      <c r="B27" s="84"/>
      <c r="C27" s="90"/>
      <c r="D27" s="90"/>
      <c r="E27" s="228" t="str">
        <f t="shared" si="0"/>
        <v/>
      </c>
      <c r="F27" s="228" t="str">
        <f t="shared" si="1"/>
        <v/>
      </c>
      <c r="G27" s="114" t="str">
        <f t="shared" si="3"/>
        <v/>
      </c>
      <c r="H27" s="115" t="str">
        <f t="shared" si="2"/>
        <v/>
      </c>
      <c r="I27" s="117"/>
      <c r="J27" s="117"/>
      <c r="K27" s="94"/>
      <c r="L27" s="51"/>
    </row>
    <row r="28" spans="1:12" ht="15" x14ac:dyDescent="0.25">
      <c r="A28" s="51"/>
      <c r="B28" s="84"/>
      <c r="C28" s="90"/>
      <c r="D28" s="90"/>
      <c r="E28" s="228" t="str">
        <f t="shared" si="0"/>
        <v/>
      </c>
      <c r="F28" s="228" t="str">
        <f t="shared" si="1"/>
        <v/>
      </c>
      <c r="G28" s="114" t="str">
        <f t="shared" si="3"/>
        <v/>
      </c>
      <c r="H28" s="115" t="str">
        <f t="shared" si="2"/>
        <v/>
      </c>
      <c r="I28" s="117"/>
      <c r="J28" s="117"/>
      <c r="K28" s="94"/>
      <c r="L28" s="51"/>
    </row>
    <row r="29" spans="1:12" ht="15" x14ac:dyDescent="0.25">
      <c r="A29" s="51"/>
      <c r="B29" s="84"/>
      <c r="C29" s="90"/>
      <c r="D29" s="90"/>
      <c r="E29" s="228" t="str">
        <f t="shared" si="0"/>
        <v/>
      </c>
      <c r="F29" s="228" t="str">
        <f t="shared" si="1"/>
        <v/>
      </c>
      <c r="G29" s="114" t="str">
        <f t="shared" si="3"/>
        <v/>
      </c>
      <c r="H29" s="115" t="str">
        <f t="shared" si="2"/>
        <v/>
      </c>
      <c r="I29" s="117"/>
      <c r="J29" s="117"/>
      <c r="K29" s="94"/>
      <c r="L29" s="51"/>
    </row>
    <row r="30" spans="1:12" ht="15.75" thickBot="1" x14ac:dyDescent="0.3">
      <c r="A30" s="51"/>
      <c r="B30" s="57"/>
      <c r="C30" s="102"/>
      <c r="D30" s="118"/>
      <c r="E30" s="102"/>
      <c r="F30" s="102" t="str">
        <f>IF(D30="","",VLOOKUP(D30,#REF!,2,TRUE))</f>
        <v/>
      </c>
      <c r="G30" s="102"/>
      <c r="H30" s="102"/>
      <c r="I30" s="119"/>
      <c r="J30" s="119"/>
      <c r="K30" s="103"/>
      <c r="L30" s="51"/>
    </row>
    <row r="31" spans="1:12" ht="15.75" thickBot="1" x14ac:dyDescent="0.3">
      <c r="A31" s="51"/>
      <c r="B31" s="51"/>
      <c r="C31" s="51"/>
      <c r="D31" s="51"/>
      <c r="E31" s="51"/>
      <c r="F31" s="51"/>
      <c r="G31" s="51"/>
      <c r="H31" s="51"/>
      <c r="I31" s="51"/>
      <c r="J31" s="51"/>
      <c r="K31" s="51"/>
      <c r="L31" s="51"/>
    </row>
    <row r="32" spans="1:12" ht="15" x14ac:dyDescent="0.25">
      <c r="A32" s="51"/>
      <c r="B32" s="80"/>
      <c r="C32" s="104" t="s">
        <v>119</v>
      </c>
      <c r="D32" s="106"/>
      <c r="E32" s="106"/>
      <c r="F32" s="106" t="str">
        <f>IF(D32="","",VLOOKUP(D32,#REF!,2,TRUE))</f>
        <v/>
      </c>
      <c r="G32" s="106"/>
      <c r="H32" s="106"/>
      <c r="I32" s="120"/>
      <c r="J32" s="120"/>
      <c r="K32" s="108"/>
      <c r="L32" s="51"/>
    </row>
    <row r="33" spans="1:12" ht="15.75" thickBot="1" x14ac:dyDescent="0.3">
      <c r="A33" s="51"/>
      <c r="B33" s="84"/>
      <c r="C33" s="121" t="s">
        <v>203</v>
      </c>
      <c r="D33" s="93"/>
      <c r="E33" s="93"/>
      <c r="F33" s="93"/>
      <c r="G33" s="93"/>
      <c r="H33" s="93"/>
      <c r="I33" s="117"/>
      <c r="J33" s="117"/>
      <c r="K33" s="94"/>
      <c r="L33" s="51"/>
    </row>
    <row r="34" spans="1:12" ht="25.5" thickBot="1" x14ac:dyDescent="0.3">
      <c r="A34" s="51"/>
      <c r="B34" s="84"/>
      <c r="C34" s="110" t="s">
        <v>8</v>
      </c>
      <c r="D34" s="111" t="s">
        <v>12</v>
      </c>
      <c r="E34" s="112" t="s">
        <v>6</v>
      </c>
      <c r="F34" s="112" t="s">
        <v>9</v>
      </c>
      <c r="G34" s="112" t="s">
        <v>10</v>
      </c>
      <c r="H34" s="112" t="s">
        <v>11</v>
      </c>
      <c r="I34" s="117"/>
      <c r="J34" s="117"/>
      <c r="K34" s="94"/>
      <c r="L34" s="51"/>
    </row>
    <row r="35" spans="1:12" ht="15" x14ac:dyDescent="0.25">
      <c r="A35" s="51"/>
      <c r="B35" s="84"/>
      <c r="C35" s="122"/>
      <c r="D35" s="122">
        <v>100</v>
      </c>
      <c r="E35" s="261">
        <f t="shared" ref="E35:E45" si="4">IF(D35="","",$J$12)</f>
        <v>1187.5</v>
      </c>
      <c r="F35" s="124">
        <f t="shared" ref="F35:F45" si="5">IF(D35="","",IF(ISNA(VLOOKUP(D35,PipeSizes,2,FALSE)),D35,VLOOKUP(D35,PipeSizes,2,FALSE)))</f>
        <v>122</v>
      </c>
      <c r="G35" s="125">
        <f t="shared" ref="G35:G45" si="6">IF(D35="","",SUM(0.0000077*E35/10)*(F35^2))</f>
        <v>13.609557500000001</v>
      </c>
      <c r="H35" s="126">
        <f t="shared" ref="H35:H45" si="7">IF(G35="","",+IF((G35/$F$6)&gt;0.3,(G35/$F$6),0.3))</f>
        <v>0.3</v>
      </c>
      <c r="I35" s="117"/>
      <c r="J35" s="117"/>
      <c r="K35" s="94"/>
      <c r="L35" s="51"/>
    </row>
    <row r="36" spans="1:12" ht="15" x14ac:dyDescent="0.25">
      <c r="A36" s="51"/>
      <c r="B36" s="84"/>
      <c r="C36" s="122"/>
      <c r="D36" s="122">
        <v>150</v>
      </c>
      <c r="E36" s="261">
        <f t="shared" si="4"/>
        <v>1187.5</v>
      </c>
      <c r="F36" s="124">
        <f t="shared" si="5"/>
        <v>177</v>
      </c>
      <c r="G36" s="125">
        <f t="shared" si="6"/>
        <v>28.646454375000001</v>
      </c>
      <c r="H36" s="126">
        <f t="shared" si="7"/>
        <v>0.57292908750000004</v>
      </c>
      <c r="I36" s="117"/>
      <c r="J36" s="117"/>
      <c r="K36" s="94"/>
      <c r="L36" s="51"/>
    </row>
    <row r="37" spans="1:12" ht="15" x14ac:dyDescent="0.25">
      <c r="A37" s="51"/>
      <c r="B37" s="84"/>
      <c r="C37" s="122"/>
      <c r="D37" s="122">
        <v>225</v>
      </c>
      <c r="E37" s="261">
        <f t="shared" si="4"/>
        <v>1187.5</v>
      </c>
      <c r="F37" s="124">
        <f t="shared" si="5"/>
        <v>259</v>
      </c>
      <c r="G37" s="125">
        <f t="shared" si="6"/>
        <v>61.337189375000001</v>
      </c>
      <c r="H37" s="126">
        <f t="shared" si="7"/>
        <v>1.2267437875</v>
      </c>
      <c r="I37" s="117"/>
      <c r="J37" s="117"/>
      <c r="K37" s="94"/>
      <c r="L37" s="51"/>
    </row>
    <row r="38" spans="1:12" ht="15" x14ac:dyDescent="0.25">
      <c r="A38" s="51"/>
      <c r="B38" s="84"/>
      <c r="C38" s="122"/>
      <c r="D38" s="122">
        <v>300</v>
      </c>
      <c r="E38" s="261">
        <f t="shared" si="4"/>
        <v>1187.5</v>
      </c>
      <c r="F38" s="124">
        <f t="shared" si="5"/>
        <v>345</v>
      </c>
      <c r="G38" s="125">
        <f t="shared" si="6"/>
        <v>108.83348437500001</v>
      </c>
      <c r="H38" s="126">
        <f t="shared" si="7"/>
        <v>2.1766696875000004</v>
      </c>
      <c r="I38" s="117"/>
      <c r="J38" s="117"/>
      <c r="K38" s="94"/>
      <c r="L38" s="51"/>
    </row>
    <row r="39" spans="1:12" ht="15" x14ac:dyDescent="0.25">
      <c r="A39" s="51"/>
      <c r="B39" s="84"/>
      <c r="C39" s="122"/>
      <c r="D39" s="122">
        <v>375</v>
      </c>
      <c r="E39" s="261">
        <f t="shared" si="4"/>
        <v>1187.5</v>
      </c>
      <c r="F39" s="124">
        <f t="shared" si="5"/>
        <v>426</v>
      </c>
      <c r="G39" s="125">
        <f t="shared" si="6"/>
        <v>165.9371175</v>
      </c>
      <c r="H39" s="126">
        <f t="shared" si="7"/>
        <v>3.31874235</v>
      </c>
      <c r="I39" s="117"/>
      <c r="J39" s="117"/>
      <c r="K39" s="94"/>
      <c r="L39" s="51"/>
    </row>
    <row r="40" spans="1:12" ht="15" x14ac:dyDescent="0.25">
      <c r="A40" s="51"/>
      <c r="B40" s="84"/>
      <c r="C40" s="122"/>
      <c r="D40" s="122">
        <v>450</v>
      </c>
      <c r="E40" s="261">
        <f t="shared" si="4"/>
        <v>1187.5</v>
      </c>
      <c r="F40" s="124">
        <f t="shared" si="5"/>
        <v>507</v>
      </c>
      <c r="G40" s="125">
        <f t="shared" si="6"/>
        <v>235.039179375</v>
      </c>
      <c r="H40" s="126">
        <f t="shared" si="7"/>
        <v>4.7007835875000001</v>
      </c>
      <c r="I40" s="117"/>
      <c r="J40" s="117"/>
      <c r="K40" s="94"/>
      <c r="L40" s="51"/>
    </row>
    <row r="41" spans="1:12" ht="15" x14ac:dyDescent="0.25">
      <c r="A41" s="51"/>
      <c r="B41" s="84"/>
      <c r="C41" s="122"/>
      <c r="D41" s="122">
        <v>600</v>
      </c>
      <c r="E41" s="261">
        <f t="shared" si="4"/>
        <v>1187.5</v>
      </c>
      <c r="F41" s="124">
        <f t="shared" si="5"/>
        <v>667</v>
      </c>
      <c r="G41" s="125">
        <f t="shared" si="6"/>
        <v>406.79537937500004</v>
      </c>
      <c r="H41" s="126">
        <f t="shared" si="7"/>
        <v>8.1359075875000002</v>
      </c>
      <c r="I41" s="117"/>
      <c r="J41" s="117"/>
      <c r="K41" s="94"/>
      <c r="L41" s="51"/>
    </row>
    <row r="42" spans="1:12" ht="15" x14ac:dyDescent="0.25">
      <c r="A42" s="51"/>
      <c r="B42" s="84"/>
      <c r="C42" s="122"/>
      <c r="D42" s="122">
        <v>750</v>
      </c>
      <c r="E42" s="261">
        <f t="shared" si="4"/>
        <v>1187.5</v>
      </c>
      <c r="F42" s="124">
        <f t="shared" si="5"/>
        <v>826</v>
      </c>
      <c r="G42" s="125">
        <f t="shared" si="6"/>
        <v>623.85611749999998</v>
      </c>
      <c r="H42" s="126">
        <f t="shared" si="7"/>
        <v>12.47712235</v>
      </c>
      <c r="I42" s="117"/>
      <c r="J42" s="117"/>
      <c r="K42" s="94"/>
      <c r="L42" s="51"/>
    </row>
    <row r="43" spans="1:12" ht="15" x14ac:dyDescent="0.25">
      <c r="A43" s="51"/>
      <c r="B43" s="84"/>
      <c r="C43" s="122"/>
      <c r="D43" s="122"/>
      <c r="E43" s="261" t="str">
        <f t="shared" si="4"/>
        <v/>
      </c>
      <c r="F43" s="124" t="str">
        <f t="shared" si="5"/>
        <v/>
      </c>
      <c r="G43" s="125" t="str">
        <f t="shared" si="6"/>
        <v/>
      </c>
      <c r="H43" s="126" t="str">
        <f t="shared" si="7"/>
        <v/>
      </c>
      <c r="I43" s="117"/>
      <c r="J43" s="117"/>
      <c r="K43" s="94"/>
      <c r="L43" s="51"/>
    </row>
    <row r="44" spans="1:12" ht="15" x14ac:dyDescent="0.25">
      <c r="A44" s="51"/>
      <c r="B44" s="84"/>
      <c r="C44" s="122"/>
      <c r="D44" s="122"/>
      <c r="E44" s="261" t="str">
        <f t="shared" si="4"/>
        <v/>
      </c>
      <c r="F44" s="124" t="str">
        <f t="shared" si="5"/>
        <v/>
      </c>
      <c r="G44" s="125" t="str">
        <f t="shared" si="6"/>
        <v/>
      </c>
      <c r="H44" s="126" t="str">
        <f t="shared" si="7"/>
        <v/>
      </c>
      <c r="I44" s="117"/>
      <c r="J44" s="117"/>
      <c r="K44" s="94"/>
      <c r="L44" s="51"/>
    </row>
    <row r="45" spans="1:12" ht="15" x14ac:dyDescent="0.25">
      <c r="A45" s="51"/>
      <c r="B45" s="84"/>
      <c r="C45" s="122"/>
      <c r="D45" s="122"/>
      <c r="E45" s="261" t="str">
        <f t="shared" si="4"/>
        <v/>
      </c>
      <c r="F45" s="124" t="str">
        <f t="shared" si="5"/>
        <v/>
      </c>
      <c r="G45" s="125" t="str">
        <f t="shared" si="6"/>
        <v/>
      </c>
      <c r="H45" s="126" t="str">
        <f t="shared" si="7"/>
        <v/>
      </c>
      <c r="I45" s="117"/>
      <c r="J45" s="117"/>
      <c r="K45" s="94"/>
      <c r="L45" s="51"/>
    </row>
    <row r="46" spans="1:12" ht="15.75" thickBot="1" x14ac:dyDescent="0.3">
      <c r="A46" s="51"/>
      <c r="B46" s="57"/>
      <c r="C46" s="102"/>
      <c r="D46" s="118"/>
      <c r="E46" s="102"/>
      <c r="F46" s="102"/>
      <c r="G46" s="102"/>
      <c r="H46" s="102"/>
      <c r="I46" s="102"/>
      <c r="J46" s="102"/>
      <c r="K46" s="103"/>
      <c r="L46" s="51"/>
    </row>
    <row r="47" spans="1:12" ht="15.75" thickBot="1" x14ac:dyDescent="0.3">
      <c r="A47" s="51"/>
      <c r="B47" s="51"/>
      <c r="C47" s="51"/>
      <c r="D47" s="51"/>
      <c r="E47" s="51"/>
      <c r="F47" s="51"/>
      <c r="G47" s="51"/>
      <c r="H47" s="51"/>
      <c r="I47" s="51"/>
      <c r="J47" s="51"/>
      <c r="K47" s="51"/>
      <c r="L47" s="51"/>
    </row>
    <row r="48" spans="1:12" ht="15" x14ac:dyDescent="0.25">
      <c r="A48" s="51"/>
      <c r="B48" s="80"/>
      <c r="C48" s="104" t="s">
        <v>31</v>
      </c>
      <c r="D48" s="106"/>
      <c r="E48" s="106"/>
      <c r="F48" s="106"/>
      <c r="G48" s="106"/>
      <c r="H48" s="106"/>
      <c r="I48" s="106"/>
      <c r="J48" s="106"/>
      <c r="K48" s="108"/>
      <c r="L48" s="51"/>
    </row>
    <row r="49" spans="1:12" ht="15.75" thickBot="1" x14ac:dyDescent="0.3">
      <c r="A49" s="51"/>
      <c r="B49" s="84"/>
      <c r="C49" s="93"/>
      <c r="D49" s="93"/>
      <c r="E49" s="93"/>
      <c r="F49" s="93"/>
      <c r="G49" s="93"/>
      <c r="H49" s="93"/>
      <c r="I49" s="93"/>
      <c r="J49" s="93"/>
      <c r="K49" s="94"/>
      <c r="L49" s="51"/>
    </row>
    <row r="50" spans="1:12" ht="39" customHeight="1" thickBot="1" x14ac:dyDescent="0.3">
      <c r="A50" s="51"/>
      <c r="B50" s="84"/>
      <c r="C50" s="110" t="s">
        <v>8</v>
      </c>
      <c r="D50" s="110" t="s">
        <v>12</v>
      </c>
      <c r="E50" s="110" t="s">
        <v>13</v>
      </c>
      <c r="F50" s="112" t="s">
        <v>14</v>
      </c>
      <c r="G50" s="112" t="s">
        <v>9</v>
      </c>
      <c r="H50" s="112" t="s">
        <v>10</v>
      </c>
      <c r="I50" s="112" t="s">
        <v>11</v>
      </c>
      <c r="J50" s="93"/>
      <c r="K50" s="94"/>
      <c r="L50" s="51"/>
    </row>
    <row r="51" spans="1:12" ht="15" x14ac:dyDescent="0.25">
      <c r="A51" s="51"/>
      <c r="B51" s="84"/>
      <c r="C51" s="122"/>
      <c r="D51" s="122">
        <v>100</v>
      </c>
      <c r="E51" s="122">
        <v>11.25</v>
      </c>
      <c r="F51" s="261">
        <f t="shared" ref="F51:F65" si="8">IF(D51="","",$J$12)</f>
        <v>1187.5</v>
      </c>
      <c r="G51" s="124">
        <f t="shared" ref="G51:G65" si="9">IF(D51="","",IF(ISNA(VLOOKUP(D51,PipeSizes,2,FALSE)),D51,VLOOKUP(D51,PipeSizes,2,FALSE)))</f>
        <v>122</v>
      </c>
      <c r="H51" s="125">
        <f t="shared" ref="H51:H65" si="10">IF(D51="","",SUM(0.0000154*F51/10)*(G51^2)*(SIN(RADIANS(E51/2))))</f>
        <v>2.6679398146014481</v>
      </c>
      <c r="I51" s="126" t="str">
        <f t="shared" ref="I51:I65" si="11">IF(H51="","",+IF((H51/$F$6)&gt;0.18,(H51/$F$6),"Timber Block"))</f>
        <v>Timber Block</v>
      </c>
      <c r="J51" s="93"/>
      <c r="K51" s="94"/>
      <c r="L51" s="51"/>
    </row>
    <row r="52" spans="1:12" ht="15" x14ac:dyDescent="0.25">
      <c r="A52" s="51"/>
      <c r="B52" s="84"/>
      <c r="C52" s="122"/>
      <c r="D52" s="122">
        <v>100</v>
      </c>
      <c r="E52" s="122">
        <v>22.5</v>
      </c>
      <c r="F52" s="261">
        <f t="shared" si="8"/>
        <v>1187.5</v>
      </c>
      <c r="G52" s="124">
        <f t="shared" si="9"/>
        <v>122</v>
      </c>
      <c r="H52" s="125">
        <f t="shared" si="10"/>
        <v>5.3101859103440274</v>
      </c>
      <c r="I52" s="126" t="str">
        <f t="shared" si="11"/>
        <v>Timber Block</v>
      </c>
      <c r="J52" s="93"/>
      <c r="K52" s="94"/>
      <c r="L52" s="51"/>
    </row>
    <row r="53" spans="1:12" ht="15" x14ac:dyDescent="0.25">
      <c r="A53" s="51"/>
      <c r="B53" s="84"/>
      <c r="C53" s="122"/>
      <c r="D53" s="122">
        <v>100</v>
      </c>
      <c r="E53" s="122">
        <v>30</v>
      </c>
      <c r="F53" s="261">
        <f t="shared" si="8"/>
        <v>1187.5</v>
      </c>
      <c r="G53" s="124">
        <f t="shared" si="9"/>
        <v>122</v>
      </c>
      <c r="H53" s="125">
        <f t="shared" si="10"/>
        <v>7.0448253528356997</v>
      </c>
      <c r="I53" s="126" t="str">
        <f t="shared" si="11"/>
        <v>Timber Block</v>
      </c>
      <c r="J53" s="93"/>
      <c r="K53" s="94"/>
      <c r="L53" s="51"/>
    </row>
    <row r="54" spans="1:12" ht="15" x14ac:dyDescent="0.25">
      <c r="A54" s="51"/>
      <c r="B54" s="84"/>
      <c r="C54" s="122"/>
      <c r="D54" s="122">
        <v>100</v>
      </c>
      <c r="E54" s="122">
        <v>45</v>
      </c>
      <c r="F54" s="261">
        <f t="shared" si="8"/>
        <v>1187.5</v>
      </c>
      <c r="G54" s="124">
        <f t="shared" si="9"/>
        <v>122</v>
      </c>
      <c r="H54" s="125">
        <f t="shared" si="10"/>
        <v>10.416304354140102</v>
      </c>
      <c r="I54" s="126">
        <f t="shared" si="11"/>
        <v>0.20832608708280204</v>
      </c>
      <c r="J54" s="93"/>
      <c r="K54" s="94"/>
      <c r="L54" s="51"/>
    </row>
    <row r="55" spans="1:12" ht="15" x14ac:dyDescent="0.25">
      <c r="A55" s="51"/>
      <c r="B55" s="84"/>
      <c r="C55" s="122"/>
      <c r="D55" s="122">
        <v>100</v>
      </c>
      <c r="E55" s="122">
        <v>90</v>
      </c>
      <c r="F55" s="261">
        <f t="shared" si="8"/>
        <v>1187.5</v>
      </c>
      <c r="G55" s="124">
        <f t="shared" si="9"/>
        <v>122</v>
      </c>
      <c r="H55" s="125">
        <f t="shared" si="10"/>
        <v>19.246820794396474</v>
      </c>
      <c r="I55" s="126">
        <f t="shared" si="11"/>
        <v>0.38493641588792948</v>
      </c>
      <c r="J55" s="93"/>
      <c r="K55" s="94"/>
      <c r="L55" s="51"/>
    </row>
    <row r="56" spans="1:12" ht="15" x14ac:dyDescent="0.25">
      <c r="A56" s="51"/>
      <c r="B56" s="84"/>
      <c r="C56" s="122"/>
      <c r="D56" s="122">
        <v>150</v>
      </c>
      <c r="E56" s="122">
        <v>11.25</v>
      </c>
      <c r="F56" s="261">
        <f t="shared" si="8"/>
        <v>1187.5</v>
      </c>
      <c r="G56" s="124">
        <f t="shared" si="9"/>
        <v>177</v>
      </c>
      <c r="H56" s="125">
        <f t="shared" si="10"/>
        <v>5.6156870768374612</v>
      </c>
      <c r="I56" s="126" t="str">
        <f t="shared" si="11"/>
        <v>Timber Block</v>
      </c>
      <c r="J56" s="93"/>
      <c r="K56" s="94"/>
      <c r="L56" s="51"/>
    </row>
    <row r="57" spans="1:12" ht="15" x14ac:dyDescent="0.25">
      <c r="A57" s="51"/>
      <c r="B57" s="84"/>
      <c r="C57" s="122"/>
      <c r="D57" s="122">
        <v>150</v>
      </c>
      <c r="E57" s="122">
        <v>22.5</v>
      </c>
      <c r="F57" s="261">
        <f t="shared" si="8"/>
        <v>1187.5</v>
      </c>
      <c r="G57" s="124">
        <f t="shared" si="9"/>
        <v>177</v>
      </c>
      <c r="H57" s="125">
        <f t="shared" si="10"/>
        <v>11.177292017278152</v>
      </c>
      <c r="I57" s="126">
        <f t="shared" si="11"/>
        <v>0.22354584034556305</v>
      </c>
      <c r="J57" s="93"/>
      <c r="K57" s="94"/>
      <c r="L57" s="51"/>
    </row>
    <row r="58" spans="1:12" ht="15" x14ac:dyDescent="0.25">
      <c r="A58" s="51"/>
      <c r="B58" s="84"/>
      <c r="C58" s="122"/>
      <c r="D58" s="122">
        <v>150</v>
      </c>
      <c r="E58" s="122">
        <v>30</v>
      </c>
      <c r="F58" s="261">
        <f t="shared" si="8"/>
        <v>1187.5</v>
      </c>
      <c r="G58" s="124">
        <f t="shared" si="9"/>
        <v>177</v>
      </c>
      <c r="H58" s="125">
        <f t="shared" si="10"/>
        <v>14.828495933820856</v>
      </c>
      <c r="I58" s="126">
        <f t="shared" si="11"/>
        <v>0.29656991867641713</v>
      </c>
      <c r="J58" s="93"/>
      <c r="K58" s="94"/>
      <c r="L58" s="51"/>
    </row>
    <row r="59" spans="1:12" ht="15" customHeight="1" x14ac:dyDescent="0.25">
      <c r="A59" s="51"/>
      <c r="B59" s="84"/>
      <c r="C59" s="122"/>
      <c r="D59" s="122">
        <v>150</v>
      </c>
      <c r="E59" s="122">
        <v>45</v>
      </c>
      <c r="F59" s="261">
        <f t="shared" si="8"/>
        <v>1187.5</v>
      </c>
      <c r="G59" s="124">
        <f t="shared" si="9"/>
        <v>177</v>
      </c>
      <c r="H59" s="125">
        <f t="shared" si="10"/>
        <v>21.925046970629886</v>
      </c>
      <c r="I59" s="126">
        <f t="shared" si="11"/>
        <v>0.43850093941259771</v>
      </c>
      <c r="J59" s="93"/>
      <c r="K59" s="94"/>
      <c r="L59" s="51"/>
    </row>
    <row r="60" spans="1:12" ht="15" customHeight="1" x14ac:dyDescent="0.25">
      <c r="A60" s="51"/>
      <c r="B60" s="84"/>
      <c r="C60" s="122"/>
      <c r="D60" s="122">
        <v>150</v>
      </c>
      <c r="E60" s="122">
        <v>90</v>
      </c>
      <c r="F60" s="261">
        <f t="shared" si="8"/>
        <v>1187.5</v>
      </c>
      <c r="G60" s="124">
        <f t="shared" si="9"/>
        <v>177</v>
      </c>
      <c r="H60" s="125">
        <f t="shared" si="10"/>
        <v>40.512204291027082</v>
      </c>
      <c r="I60" s="126">
        <f t="shared" si="11"/>
        <v>0.81024408582054164</v>
      </c>
      <c r="J60" s="93"/>
      <c r="K60" s="94"/>
      <c r="L60" s="51"/>
    </row>
    <row r="61" spans="1:12" ht="15" customHeight="1" x14ac:dyDescent="0.25">
      <c r="A61" s="51"/>
      <c r="B61" s="84"/>
      <c r="C61" s="122"/>
      <c r="D61" s="122">
        <v>225</v>
      </c>
      <c r="E61" s="122">
        <v>11.25</v>
      </c>
      <c r="F61" s="261">
        <f t="shared" si="8"/>
        <v>1187.5</v>
      </c>
      <c r="G61" s="124">
        <f t="shared" si="9"/>
        <v>259</v>
      </c>
      <c r="H61" s="125">
        <f t="shared" si="10"/>
        <v>12.024191796780418</v>
      </c>
      <c r="I61" s="126">
        <f t="shared" si="11"/>
        <v>0.24048383593560835</v>
      </c>
      <c r="J61" s="93"/>
      <c r="K61" s="94"/>
      <c r="L61" s="51"/>
    </row>
    <row r="62" spans="1:12" ht="15" customHeight="1" x14ac:dyDescent="0.25">
      <c r="A62" s="51"/>
      <c r="B62" s="84"/>
      <c r="C62" s="122"/>
      <c r="D62" s="122">
        <v>225</v>
      </c>
      <c r="E62" s="122">
        <v>22.5</v>
      </c>
      <c r="F62" s="261">
        <f t="shared" si="8"/>
        <v>1187.5</v>
      </c>
      <c r="G62" s="124">
        <f t="shared" si="9"/>
        <v>259</v>
      </c>
      <c r="H62" s="125">
        <f t="shared" si="10"/>
        <v>23.93258405346598</v>
      </c>
      <c r="I62" s="126">
        <f t="shared" si="11"/>
        <v>0.4786516810693196</v>
      </c>
      <c r="J62" s="93"/>
      <c r="K62" s="94"/>
      <c r="L62" s="51"/>
    </row>
    <row r="63" spans="1:12" ht="15" customHeight="1" x14ac:dyDescent="0.25">
      <c r="A63" s="51"/>
      <c r="B63" s="84"/>
      <c r="C63" s="122"/>
      <c r="D63" s="122">
        <v>225</v>
      </c>
      <c r="E63" s="122">
        <v>30</v>
      </c>
      <c r="F63" s="261">
        <f t="shared" si="8"/>
        <v>1187.5</v>
      </c>
      <c r="G63" s="124">
        <f t="shared" si="9"/>
        <v>259</v>
      </c>
      <c r="H63" s="125">
        <f t="shared" si="10"/>
        <v>31.750465566619962</v>
      </c>
      <c r="I63" s="126">
        <f t="shared" si="11"/>
        <v>0.63500931133239924</v>
      </c>
      <c r="J63" s="93"/>
      <c r="K63" s="94"/>
      <c r="L63" s="51"/>
    </row>
    <row r="64" spans="1:12" ht="15" customHeight="1" x14ac:dyDescent="0.25">
      <c r="A64" s="51"/>
      <c r="B64" s="84"/>
      <c r="C64" s="122"/>
      <c r="D64" s="122">
        <v>225</v>
      </c>
      <c r="E64" s="122">
        <v>45</v>
      </c>
      <c r="F64" s="261">
        <f t="shared" si="8"/>
        <v>1187.5</v>
      </c>
      <c r="G64" s="124">
        <f t="shared" si="9"/>
        <v>259</v>
      </c>
      <c r="H64" s="125">
        <f t="shared" si="10"/>
        <v>46.945452323305034</v>
      </c>
      <c r="I64" s="126">
        <f t="shared" si="11"/>
        <v>0.93890904646610063</v>
      </c>
      <c r="J64" s="93"/>
      <c r="K64" s="94"/>
      <c r="L64" s="51"/>
    </row>
    <row r="65" spans="1:12" ht="15" customHeight="1" x14ac:dyDescent="0.25">
      <c r="A65" s="51"/>
      <c r="B65" s="84"/>
      <c r="C65" s="122"/>
      <c r="D65" s="122">
        <v>225</v>
      </c>
      <c r="E65" s="122">
        <v>90</v>
      </c>
      <c r="F65" s="261">
        <f t="shared" si="8"/>
        <v>1187.5</v>
      </c>
      <c r="G65" s="124">
        <f t="shared" si="9"/>
        <v>259</v>
      </c>
      <c r="H65" s="125">
        <f t="shared" si="10"/>
        <v>86.743885091971904</v>
      </c>
      <c r="I65" s="126">
        <f t="shared" si="11"/>
        <v>1.7348777018394381</v>
      </c>
      <c r="J65" s="93"/>
      <c r="K65" s="94"/>
      <c r="L65" s="51"/>
    </row>
    <row r="66" spans="1:12" ht="15" customHeight="1" thickBot="1" x14ac:dyDescent="0.3">
      <c r="A66" s="51"/>
      <c r="B66" s="57"/>
      <c r="C66" s="102"/>
      <c r="D66" s="102"/>
      <c r="E66" s="102"/>
      <c r="F66" s="102"/>
      <c r="G66" s="102"/>
      <c r="H66" s="102"/>
      <c r="I66" s="102"/>
      <c r="J66" s="102"/>
      <c r="K66" s="103"/>
      <c r="L66" s="51"/>
    </row>
    <row r="67" spans="1:12" ht="15" customHeight="1" thickBot="1" x14ac:dyDescent="0.3">
      <c r="A67" s="51"/>
      <c r="B67" s="51"/>
      <c r="C67" s="51"/>
      <c r="D67" s="51"/>
      <c r="E67" s="51"/>
      <c r="F67" s="51"/>
      <c r="G67" s="51"/>
      <c r="H67" s="51"/>
      <c r="I67" s="51"/>
      <c r="J67" s="51"/>
      <c r="K67" s="51"/>
      <c r="L67" s="51"/>
    </row>
    <row r="68" spans="1:12" ht="15" customHeight="1" x14ac:dyDescent="0.25">
      <c r="A68" s="51"/>
      <c r="B68" s="80"/>
      <c r="C68" s="104" t="s">
        <v>120</v>
      </c>
      <c r="D68" s="106"/>
      <c r="E68" s="106"/>
      <c r="F68" s="106"/>
      <c r="G68" s="106"/>
      <c r="H68" s="106"/>
      <c r="I68" s="106"/>
      <c r="J68" s="106"/>
      <c r="K68" s="108"/>
      <c r="L68" s="51"/>
    </row>
    <row r="69" spans="1:12" ht="15" customHeight="1" thickBot="1" x14ac:dyDescent="0.3">
      <c r="A69" s="51"/>
      <c r="B69" s="84"/>
      <c r="C69" s="95" t="s">
        <v>203</v>
      </c>
      <c r="D69" s="93"/>
      <c r="E69" s="93"/>
      <c r="F69" s="93"/>
      <c r="G69" s="93"/>
      <c r="H69" s="93"/>
      <c r="I69" s="93"/>
      <c r="J69" s="93"/>
      <c r="K69" s="94"/>
      <c r="L69" s="51"/>
    </row>
    <row r="70" spans="1:12" ht="36.75" thickBot="1" x14ac:dyDescent="0.3">
      <c r="A70" s="51"/>
      <c r="B70" s="84"/>
      <c r="C70" s="110" t="s">
        <v>8</v>
      </c>
      <c r="D70" s="110" t="s">
        <v>15</v>
      </c>
      <c r="E70" s="110" t="s">
        <v>16</v>
      </c>
      <c r="F70" s="112" t="s">
        <v>6</v>
      </c>
      <c r="G70" s="112" t="s">
        <v>17</v>
      </c>
      <c r="H70" s="112" t="s">
        <v>18</v>
      </c>
      <c r="I70" s="112" t="s">
        <v>10</v>
      </c>
      <c r="J70" s="112" t="s">
        <v>11</v>
      </c>
      <c r="K70" s="94"/>
      <c r="L70" s="51"/>
    </row>
    <row r="71" spans="1:12" ht="15" customHeight="1" x14ac:dyDescent="0.25">
      <c r="A71" s="51"/>
      <c r="B71" s="84"/>
      <c r="C71" s="122"/>
      <c r="D71" s="122">
        <v>150</v>
      </c>
      <c r="E71" s="122">
        <v>100</v>
      </c>
      <c r="F71" s="261">
        <f t="shared" ref="F71:F80" si="12">IF(D71="","",$J$12)</f>
        <v>1187.5</v>
      </c>
      <c r="G71" s="124">
        <f t="shared" ref="G71:G80" si="13">IF(D71="","",IF(ISNA(VLOOKUP(D71,PipeSizes,2,FALSE)),D71,VLOOKUP(D71,PipeSizes,2,FALSE)))</f>
        <v>177</v>
      </c>
      <c r="H71" s="124">
        <f t="shared" ref="H71:H80" si="14">IF(E71="","",IF(ISNA(VLOOKUP(E71,PipeSizes,2,FALSE)),E71,VLOOKUP(E71,PipeSizes,2,FALSE)))</f>
        <v>122</v>
      </c>
      <c r="I71" s="125">
        <f t="shared" ref="I71:I80" si="15">IF(H71="","",SUM(0.0000077*F71/10)*((G71^2)-(H71^2)))</f>
        <v>15.036896875</v>
      </c>
      <c r="J71" s="126">
        <f t="shared" ref="J71:J80" si="16">IF(I71="","",+IF((I71/$F$6)&gt;0.3,(I71/$F$6),0.3))</f>
        <v>0.3007379375</v>
      </c>
      <c r="K71" s="94"/>
      <c r="L71" s="51"/>
    </row>
    <row r="72" spans="1:12" ht="15" customHeight="1" x14ac:dyDescent="0.25">
      <c r="A72" s="51"/>
      <c r="B72" s="84"/>
      <c r="C72" s="122"/>
      <c r="D72" s="122">
        <v>225</v>
      </c>
      <c r="E72" s="122">
        <v>100</v>
      </c>
      <c r="F72" s="261">
        <f t="shared" si="12"/>
        <v>1187.5</v>
      </c>
      <c r="G72" s="124">
        <f t="shared" si="13"/>
        <v>259</v>
      </c>
      <c r="H72" s="124">
        <f t="shared" si="14"/>
        <v>122</v>
      </c>
      <c r="I72" s="125">
        <f t="shared" si="15"/>
        <v>47.727631875</v>
      </c>
      <c r="J72" s="126">
        <f t="shared" si="16"/>
        <v>0.95455263749999997</v>
      </c>
      <c r="K72" s="94"/>
      <c r="L72" s="51"/>
    </row>
    <row r="73" spans="1:12" ht="15" customHeight="1" x14ac:dyDescent="0.25">
      <c r="A73" s="51"/>
      <c r="B73" s="84"/>
      <c r="C73" s="122"/>
      <c r="D73" s="122">
        <v>225</v>
      </c>
      <c r="E73" s="122">
        <v>150</v>
      </c>
      <c r="F73" s="261">
        <f t="shared" si="12"/>
        <v>1187.5</v>
      </c>
      <c r="G73" s="124">
        <f t="shared" si="13"/>
        <v>259</v>
      </c>
      <c r="H73" s="124">
        <f t="shared" si="14"/>
        <v>177</v>
      </c>
      <c r="I73" s="125">
        <f t="shared" si="15"/>
        <v>32.690735000000004</v>
      </c>
      <c r="J73" s="126">
        <f t="shared" si="16"/>
        <v>0.65381470000000008</v>
      </c>
      <c r="K73" s="94"/>
      <c r="L73" s="51"/>
    </row>
    <row r="74" spans="1:12" ht="15" customHeight="1" x14ac:dyDescent="0.25">
      <c r="A74" s="51"/>
      <c r="B74" s="84"/>
      <c r="C74" s="122"/>
      <c r="D74" s="122">
        <v>300</v>
      </c>
      <c r="E74" s="122">
        <v>100</v>
      </c>
      <c r="F74" s="261">
        <f t="shared" si="12"/>
        <v>1187.5</v>
      </c>
      <c r="G74" s="124">
        <f t="shared" si="13"/>
        <v>345</v>
      </c>
      <c r="H74" s="124">
        <f t="shared" si="14"/>
        <v>122</v>
      </c>
      <c r="I74" s="125">
        <f t="shared" si="15"/>
        <v>95.223926875000004</v>
      </c>
      <c r="J74" s="126">
        <f t="shared" si="16"/>
        <v>1.9044785375000002</v>
      </c>
      <c r="K74" s="94"/>
      <c r="L74" s="51"/>
    </row>
    <row r="75" spans="1:12" ht="15" customHeight="1" x14ac:dyDescent="0.25">
      <c r="A75" s="51"/>
      <c r="B75" s="84"/>
      <c r="C75" s="122"/>
      <c r="D75" s="122">
        <v>300</v>
      </c>
      <c r="E75" s="122">
        <v>150</v>
      </c>
      <c r="F75" s="261">
        <f t="shared" si="12"/>
        <v>1187.5</v>
      </c>
      <c r="G75" s="124">
        <f t="shared" si="13"/>
        <v>345</v>
      </c>
      <c r="H75" s="124">
        <f t="shared" si="14"/>
        <v>177</v>
      </c>
      <c r="I75" s="125">
        <f t="shared" si="15"/>
        <v>80.187030000000007</v>
      </c>
      <c r="J75" s="126">
        <f t="shared" si="16"/>
        <v>1.6037406000000001</v>
      </c>
      <c r="K75" s="94"/>
      <c r="L75" s="51"/>
    </row>
    <row r="76" spans="1:12" ht="15" customHeight="1" x14ac:dyDescent="0.25">
      <c r="A76" s="51"/>
      <c r="B76" s="84"/>
      <c r="C76" s="122"/>
      <c r="D76" s="122">
        <v>300</v>
      </c>
      <c r="E76" s="122">
        <v>225</v>
      </c>
      <c r="F76" s="261">
        <f t="shared" si="12"/>
        <v>1187.5</v>
      </c>
      <c r="G76" s="124">
        <f t="shared" si="13"/>
        <v>345</v>
      </c>
      <c r="H76" s="124">
        <f t="shared" si="14"/>
        <v>259</v>
      </c>
      <c r="I76" s="125">
        <f t="shared" si="15"/>
        <v>47.496295000000003</v>
      </c>
      <c r="J76" s="126">
        <f t="shared" si="16"/>
        <v>0.9499259000000001</v>
      </c>
      <c r="K76" s="94"/>
      <c r="L76" s="51"/>
    </row>
    <row r="77" spans="1:12" ht="15" customHeight="1" x14ac:dyDescent="0.25">
      <c r="A77" s="51"/>
      <c r="B77" s="84"/>
      <c r="C77" s="122"/>
      <c r="D77" s="122"/>
      <c r="E77" s="122"/>
      <c r="F77" s="261" t="str">
        <f t="shared" si="12"/>
        <v/>
      </c>
      <c r="G77" s="124" t="str">
        <f t="shared" si="13"/>
        <v/>
      </c>
      <c r="H77" s="124" t="str">
        <f t="shared" si="14"/>
        <v/>
      </c>
      <c r="I77" s="125" t="str">
        <f t="shared" si="15"/>
        <v/>
      </c>
      <c r="J77" s="126" t="str">
        <f t="shared" si="16"/>
        <v/>
      </c>
      <c r="K77" s="94"/>
      <c r="L77" s="51"/>
    </row>
    <row r="78" spans="1:12" ht="15" customHeight="1" x14ac:dyDescent="0.25">
      <c r="A78" s="51"/>
      <c r="B78" s="84"/>
      <c r="C78" s="122"/>
      <c r="D78" s="122"/>
      <c r="E78" s="122"/>
      <c r="F78" s="261" t="str">
        <f t="shared" si="12"/>
        <v/>
      </c>
      <c r="G78" s="124" t="str">
        <f t="shared" si="13"/>
        <v/>
      </c>
      <c r="H78" s="124" t="str">
        <f t="shared" si="14"/>
        <v/>
      </c>
      <c r="I78" s="125" t="str">
        <f t="shared" si="15"/>
        <v/>
      </c>
      <c r="J78" s="127" t="str">
        <f t="shared" si="16"/>
        <v/>
      </c>
      <c r="K78" s="128"/>
      <c r="L78" s="51"/>
    </row>
    <row r="79" spans="1:12" ht="15" customHeight="1" x14ac:dyDescent="0.25">
      <c r="A79" s="51"/>
      <c r="B79" s="84"/>
      <c r="C79" s="122"/>
      <c r="D79" s="122"/>
      <c r="E79" s="122"/>
      <c r="F79" s="261" t="str">
        <f t="shared" si="12"/>
        <v/>
      </c>
      <c r="G79" s="124" t="str">
        <f t="shared" si="13"/>
        <v/>
      </c>
      <c r="H79" s="124" t="str">
        <f t="shared" si="14"/>
        <v/>
      </c>
      <c r="I79" s="125" t="str">
        <f t="shared" si="15"/>
        <v/>
      </c>
      <c r="J79" s="127" t="str">
        <f t="shared" si="16"/>
        <v/>
      </c>
      <c r="K79" s="128"/>
      <c r="L79" s="51"/>
    </row>
    <row r="80" spans="1:12" ht="15" customHeight="1" x14ac:dyDescent="0.25">
      <c r="A80" s="51"/>
      <c r="B80" s="84"/>
      <c r="C80" s="122"/>
      <c r="D80" s="122"/>
      <c r="E80" s="122"/>
      <c r="F80" s="261" t="str">
        <f t="shared" si="12"/>
        <v/>
      </c>
      <c r="G80" s="124" t="str">
        <f t="shared" si="13"/>
        <v/>
      </c>
      <c r="H80" s="124" t="str">
        <f t="shared" si="14"/>
        <v/>
      </c>
      <c r="I80" s="125" t="str">
        <f t="shared" si="15"/>
        <v/>
      </c>
      <c r="J80" s="126" t="str">
        <f t="shared" si="16"/>
        <v/>
      </c>
      <c r="K80" s="94"/>
      <c r="L80" s="51"/>
    </row>
    <row r="81" spans="1:12" ht="15" customHeight="1" thickBot="1" x14ac:dyDescent="0.3">
      <c r="A81" s="51"/>
      <c r="B81" s="57"/>
      <c r="C81" s="102"/>
      <c r="D81" s="102"/>
      <c r="E81" s="102"/>
      <c r="F81" s="102"/>
      <c r="G81" s="102"/>
      <c r="H81" s="102"/>
      <c r="I81" s="102"/>
      <c r="J81" s="102"/>
      <c r="K81" s="103"/>
      <c r="L81" s="51"/>
    </row>
    <row r="82" spans="1:12" ht="15" customHeight="1" thickBot="1" x14ac:dyDescent="0.3">
      <c r="A82" s="51"/>
      <c r="B82" s="51"/>
      <c r="C82" s="51"/>
      <c r="D82" s="51"/>
      <c r="E82" s="51"/>
      <c r="F82" s="51"/>
      <c r="G82" s="51"/>
      <c r="H82" s="51"/>
      <c r="I82" s="51"/>
      <c r="J82" s="51"/>
      <c r="K82" s="51"/>
      <c r="L82" s="51"/>
    </row>
    <row r="83" spans="1:12" ht="21.75" customHeight="1" x14ac:dyDescent="0.25">
      <c r="A83" s="51"/>
      <c r="B83" s="80"/>
      <c r="C83" s="104" t="s">
        <v>117</v>
      </c>
      <c r="D83" s="106"/>
      <c r="E83" s="106"/>
      <c r="F83" s="106"/>
      <c r="G83" s="106"/>
      <c r="H83" s="106"/>
      <c r="I83" s="106"/>
      <c r="J83" s="106"/>
      <c r="K83" s="108"/>
      <c r="L83" s="51"/>
    </row>
    <row r="84" spans="1:12" ht="15" customHeight="1" x14ac:dyDescent="0.25">
      <c r="A84" s="51"/>
      <c r="B84" s="84"/>
      <c r="C84" s="93" t="s">
        <v>23</v>
      </c>
      <c r="D84" s="93"/>
      <c r="E84" s="93"/>
      <c r="F84" s="93"/>
      <c r="G84" s="93"/>
      <c r="H84" s="93"/>
      <c r="I84" s="93"/>
      <c r="J84" s="93"/>
      <c r="K84" s="94"/>
      <c r="L84" s="51"/>
    </row>
    <row r="85" spans="1:12" ht="15" customHeight="1" x14ac:dyDescent="0.25">
      <c r="A85" s="51"/>
      <c r="B85" s="84"/>
      <c r="C85" s="93" t="s">
        <v>19</v>
      </c>
      <c r="D85" s="93"/>
      <c r="E85" s="93"/>
      <c r="F85" s="93"/>
      <c r="G85" s="129"/>
      <c r="H85" s="93"/>
      <c r="I85" s="93"/>
      <c r="J85" s="93"/>
      <c r="K85" s="94"/>
      <c r="L85" s="51"/>
    </row>
    <row r="86" spans="1:12" ht="15" customHeight="1" x14ac:dyDescent="0.25">
      <c r="A86" s="51"/>
      <c r="B86" s="84"/>
      <c r="C86" s="93" t="s">
        <v>20</v>
      </c>
      <c r="D86" s="93" t="s">
        <v>21</v>
      </c>
      <c r="E86" s="93"/>
      <c r="F86" s="93"/>
      <c r="G86" s="93"/>
      <c r="H86" s="93"/>
      <c r="I86" s="93"/>
      <c r="J86" s="93"/>
      <c r="K86" s="94"/>
      <c r="L86" s="51"/>
    </row>
    <row r="87" spans="1:12" ht="15" customHeight="1" x14ac:dyDescent="0.25">
      <c r="A87" s="51"/>
      <c r="B87" s="84"/>
      <c r="C87" s="93"/>
      <c r="D87" s="93" t="s">
        <v>22</v>
      </c>
      <c r="E87" s="93"/>
      <c r="F87" s="93"/>
      <c r="G87" s="93"/>
      <c r="H87" s="93"/>
      <c r="I87" s="93"/>
      <c r="J87" s="93"/>
      <c r="K87" s="94"/>
      <c r="L87" s="51"/>
    </row>
    <row r="88" spans="1:12" ht="20.25" customHeight="1" thickBot="1" x14ac:dyDescent="0.3">
      <c r="A88" s="51"/>
      <c r="B88" s="57"/>
      <c r="C88" s="102"/>
      <c r="D88" s="130" t="s">
        <v>115</v>
      </c>
      <c r="E88" s="131"/>
      <c r="F88" s="131"/>
      <c r="G88" s="131"/>
      <c r="H88" s="131"/>
      <c r="I88" s="131"/>
      <c r="J88" s="131"/>
      <c r="K88" s="132"/>
      <c r="L88" s="51"/>
    </row>
    <row r="89" spans="1:12" ht="15" customHeight="1" x14ac:dyDescent="0.25">
      <c r="A89" s="51"/>
      <c r="B89" s="133"/>
      <c r="C89" s="51"/>
      <c r="D89" s="51"/>
      <c r="E89" s="51"/>
      <c r="F89" s="51"/>
      <c r="G89" s="51"/>
      <c r="H89" s="51"/>
      <c r="I89" s="51"/>
      <c r="J89" s="51"/>
      <c r="K89" s="51"/>
      <c r="L89" s="29" t="s">
        <v>228</v>
      </c>
    </row>
    <row r="90" spans="1:12" ht="15" hidden="1" customHeight="1" x14ac:dyDescent="0.25">
      <c r="C90" s="134"/>
      <c r="D90" s="135"/>
      <c r="E90" s="135"/>
      <c r="F90" s="135"/>
      <c r="G90" s="135"/>
      <c r="H90" s="135"/>
      <c r="I90" s="135"/>
      <c r="J90" s="135"/>
      <c r="K90" s="136"/>
    </row>
    <row r="91" spans="1:12" ht="15" hidden="1" customHeight="1" x14ac:dyDescent="0.25">
      <c r="C91" s="135"/>
      <c r="D91" s="135"/>
      <c r="E91" s="135"/>
      <c r="F91" s="135"/>
      <c r="G91" s="135"/>
      <c r="H91" s="135"/>
      <c r="I91" s="135"/>
      <c r="J91" s="135"/>
      <c r="K91" s="136"/>
    </row>
    <row r="92" spans="1:12" ht="15" hidden="1" customHeight="1" x14ac:dyDescent="0.25">
      <c r="C92" s="135"/>
      <c r="D92" s="135"/>
      <c r="E92" s="135"/>
      <c r="F92" s="135"/>
      <c r="G92" s="135"/>
      <c r="H92" s="135"/>
      <c r="I92" s="135"/>
      <c r="J92" s="135"/>
      <c r="K92" s="136"/>
    </row>
    <row r="93" spans="1:12" ht="15" hidden="1" customHeight="1" x14ac:dyDescent="0.25">
      <c r="C93" s="135"/>
      <c r="D93" s="135"/>
      <c r="E93" s="135"/>
      <c r="F93" s="135"/>
      <c r="G93" s="135"/>
      <c r="H93" s="135"/>
      <c r="I93" s="135"/>
      <c r="J93" s="135"/>
      <c r="K93" s="136"/>
    </row>
    <row r="94" spans="1:12" ht="15" hidden="1" customHeight="1" x14ac:dyDescent="0.25">
      <c r="C94" s="135"/>
      <c r="D94" s="135"/>
      <c r="E94" s="135"/>
      <c r="F94" s="135"/>
      <c r="G94" s="135"/>
      <c r="H94" s="135"/>
      <c r="I94" s="135"/>
      <c r="J94" s="135"/>
      <c r="K94" s="136"/>
    </row>
    <row r="95" spans="1:12" ht="15" hidden="1" customHeight="1" x14ac:dyDescent="0.25">
      <c r="C95" s="135"/>
      <c r="D95" s="135"/>
      <c r="E95" s="135"/>
      <c r="F95" s="135"/>
      <c r="G95" s="135"/>
      <c r="H95" s="135"/>
      <c r="I95" s="135"/>
      <c r="J95" s="135"/>
      <c r="K95" s="136"/>
    </row>
    <row r="96" spans="1:12" ht="15" hidden="1" customHeight="1" x14ac:dyDescent="0.25">
      <c r="C96" s="135"/>
      <c r="D96" s="135"/>
      <c r="E96" s="135"/>
      <c r="F96" s="135"/>
      <c r="G96" s="135"/>
      <c r="H96" s="135"/>
      <c r="I96" s="135"/>
      <c r="J96" s="135"/>
      <c r="K96" s="136"/>
    </row>
    <row r="97" spans="3:11" ht="15" hidden="1" customHeight="1" x14ac:dyDescent="0.25">
      <c r="C97" s="137"/>
      <c r="D97" s="137"/>
      <c r="E97" s="137"/>
      <c r="F97" s="137"/>
      <c r="G97" s="137"/>
      <c r="H97" s="137"/>
      <c r="I97" s="137"/>
      <c r="J97" s="137"/>
      <c r="K97" s="138"/>
    </row>
    <row r="98" spans="3:11" ht="15" hidden="1" customHeight="1" x14ac:dyDescent="0.25">
      <c r="C98" s="137"/>
      <c r="D98" s="137"/>
      <c r="E98" s="137"/>
      <c r="F98" s="137"/>
      <c r="G98" s="137"/>
      <c r="H98" s="137"/>
      <c r="I98" s="137"/>
      <c r="J98" s="137"/>
      <c r="K98" s="138"/>
    </row>
    <row r="99" spans="3:11" ht="15" hidden="1" customHeight="1" x14ac:dyDescent="0.25">
      <c r="C99" s="137"/>
      <c r="D99" s="137"/>
      <c r="E99" s="137"/>
      <c r="F99" s="137"/>
      <c r="G99" s="137"/>
      <c r="H99" s="137"/>
      <c r="I99" s="137"/>
      <c r="J99" s="137"/>
      <c r="K99" s="138"/>
    </row>
    <row r="100" spans="3:11" ht="15" hidden="1" customHeight="1" x14ac:dyDescent="0.25">
      <c r="C100" s="137"/>
      <c r="D100" s="137"/>
      <c r="E100" s="137"/>
      <c r="F100" s="137"/>
      <c r="G100" s="137"/>
      <c r="H100" s="137"/>
      <c r="I100" s="137"/>
      <c r="J100" s="137"/>
      <c r="K100" s="138"/>
    </row>
    <row r="101" spans="3:11" ht="15" hidden="1" customHeight="1" x14ac:dyDescent="0.25">
      <c r="C101" s="137"/>
      <c r="D101" s="137"/>
      <c r="E101" s="137"/>
      <c r="F101" s="137"/>
      <c r="G101" s="137"/>
      <c r="H101" s="137"/>
      <c r="I101" s="137"/>
      <c r="J101" s="137"/>
      <c r="K101" s="138"/>
    </row>
    <row r="102" spans="3:11" ht="15" hidden="1" customHeight="1" x14ac:dyDescent="0.25">
      <c r="C102" s="137"/>
      <c r="D102" s="137"/>
      <c r="E102" s="137"/>
      <c r="F102" s="137"/>
      <c r="G102" s="137"/>
      <c r="H102" s="137"/>
      <c r="I102" s="137"/>
      <c r="J102" s="137"/>
      <c r="K102" s="138"/>
    </row>
    <row r="103" spans="3:11" ht="15" hidden="1" customHeight="1" x14ac:dyDescent="0.25">
      <c r="C103" s="137"/>
      <c r="D103" s="137"/>
      <c r="E103" s="137"/>
      <c r="F103" s="137"/>
      <c r="G103" s="137"/>
      <c r="H103" s="137"/>
      <c r="I103" s="137"/>
      <c r="J103" s="137"/>
      <c r="K103" s="138"/>
    </row>
    <row r="104" spans="3:11" ht="15" hidden="1" customHeight="1" x14ac:dyDescent="0.25">
      <c r="C104" s="137"/>
      <c r="D104" s="137"/>
      <c r="E104" s="137"/>
      <c r="F104" s="137"/>
      <c r="G104" s="137"/>
      <c r="H104" s="137"/>
      <c r="I104" s="137"/>
      <c r="J104" s="137"/>
      <c r="K104" s="138"/>
    </row>
    <row r="105" spans="3:11" ht="15" hidden="1" customHeight="1" x14ac:dyDescent="0.25">
      <c r="C105" s="137"/>
      <c r="D105" s="137"/>
      <c r="E105" s="137"/>
      <c r="F105" s="137"/>
      <c r="G105" s="137"/>
      <c r="H105" s="137"/>
      <c r="I105" s="137"/>
      <c r="J105" s="137"/>
      <c r="K105" s="138"/>
    </row>
    <row r="106" spans="3:11" ht="15" hidden="1" customHeight="1" x14ac:dyDescent="0.25">
      <c r="C106" s="137"/>
      <c r="D106" s="137"/>
      <c r="E106" s="137"/>
      <c r="F106" s="137"/>
      <c r="G106" s="137"/>
      <c r="H106" s="137"/>
      <c r="I106" s="137"/>
      <c r="J106" s="137"/>
      <c r="K106" s="138"/>
    </row>
    <row r="107" spans="3:11" ht="15" hidden="1" customHeight="1" x14ac:dyDescent="0.25">
      <c r="C107" s="137"/>
      <c r="D107" s="137"/>
      <c r="E107" s="137"/>
      <c r="F107" s="137"/>
      <c r="G107" s="137"/>
      <c r="H107" s="137"/>
      <c r="I107" s="137"/>
      <c r="J107" s="137"/>
      <c r="K107" s="138"/>
    </row>
    <row r="108" spans="3:11" ht="15" hidden="1" customHeight="1" x14ac:dyDescent="0.25">
      <c r="C108" s="137"/>
      <c r="D108" s="137"/>
      <c r="E108" s="137"/>
      <c r="F108" s="137"/>
      <c r="G108" s="137"/>
      <c r="H108" s="137"/>
      <c r="I108" s="137"/>
      <c r="J108" s="137"/>
      <c r="K108" s="138"/>
    </row>
    <row r="109" spans="3:11" ht="15" hidden="1" customHeight="1" x14ac:dyDescent="0.25">
      <c r="C109" s="137"/>
      <c r="D109" s="137"/>
      <c r="E109" s="137"/>
      <c r="F109" s="137"/>
      <c r="G109" s="137"/>
      <c r="H109" s="137"/>
      <c r="I109" s="137"/>
      <c r="J109" s="137"/>
      <c r="K109" s="138"/>
    </row>
    <row r="110" spans="3:11" ht="15" hidden="1" customHeight="1" x14ac:dyDescent="0.25">
      <c r="C110" s="137"/>
      <c r="D110" s="137"/>
      <c r="E110" s="137"/>
      <c r="F110" s="137"/>
      <c r="G110" s="137"/>
      <c r="H110" s="137"/>
      <c r="I110" s="137"/>
      <c r="J110" s="137"/>
      <c r="K110" s="138"/>
    </row>
    <row r="111" spans="3:11" ht="15" hidden="1" customHeight="1" x14ac:dyDescent="0.25">
      <c r="C111" s="137"/>
      <c r="D111" s="137"/>
      <c r="E111" s="137"/>
      <c r="F111" s="137"/>
      <c r="G111" s="137"/>
      <c r="H111" s="137"/>
      <c r="I111" s="137"/>
      <c r="J111" s="137"/>
      <c r="K111" s="138"/>
    </row>
    <row r="112" spans="3:11" ht="15" hidden="1" customHeight="1" x14ac:dyDescent="0.25">
      <c r="C112" s="137"/>
      <c r="D112" s="137"/>
      <c r="E112" s="137"/>
      <c r="F112" s="137"/>
      <c r="G112" s="137"/>
      <c r="H112" s="137"/>
      <c r="I112" s="137"/>
      <c r="J112" s="137"/>
      <c r="K112" s="138"/>
    </row>
    <row r="113" spans="3:11" ht="15" hidden="1" customHeight="1" x14ac:dyDescent="0.25">
      <c r="C113" s="137"/>
      <c r="D113" s="137"/>
      <c r="E113" s="137"/>
      <c r="F113" s="137"/>
      <c r="G113" s="137"/>
      <c r="H113" s="137"/>
      <c r="I113" s="137"/>
      <c r="J113" s="137"/>
      <c r="K113" s="138"/>
    </row>
    <row r="114" spans="3:11" ht="15" hidden="1" customHeight="1" x14ac:dyDescent="0.25">
      <c r="C114" s="137"/>
      <c r="D114" s="137"/>
      <c r="E114" s="137"/>
      <c r="F114" s="137"/>
      <c r="G114" s="137"/>
      <c r="H114" s="137"/>
      <c r="I114" s="137"/>
      <c r="J114" s="137"/>
      <c r="K114" s="138"/>
    </row>
    <row r="115" spans="3:11" ht="15" hidden="1" customHeight="1" x14ac:dyDescent="0.25">
      <c r="C115" s="137"/>
      <c r="D115" s="137"/>
      <c r="E115" s="137"/>
      <c r="F115" s="137"/>
      <c r="G115" s="137"/>
      <c r="H115" s="137"/>
      <c r="I115" s="137"/>
      <c r="J115" s="137"/>
      <c r="K115" s="138"/>
    </row>
    <row r="116" spans="3:11" ht="15" hidden="1" customHeight="1" x14ac:dyDescent="0.25">
      <c r="C116" s="137"/>
      <c r="D116" s="137"/>
      <c r="E116" s="137"/>
      <c r="F116" s="137"/>
      <c r="G116" s="137"/>
      <c r="H116" s="137"/>
      <c r="I116" s="137"/>
      <c r="J116" s="137"/>
      <c r="K116" s="138"/>
    </row>
    <row r="117" spans="3:11" ht="15" hidden="1" customHeight="1" x14ac:dyDescent="0.25">
      <c r="C117" s="137"/>
      <c r="D117" s="137"/>
      <c r="E117" s="137"/>
      <c r="F117" s="137"/>
      <c r="G117" s="137"/>
      <c r="H117" s="137"/>
      <c r="I117" s="137"/>
      <c r="J117" s="137"/>
      <c r="K117" s="138"/>
    </row>
    <row r="118" spans="3:11" ht="15" hidden="1" customHeight="1" x14ac:dyDescent="0.25">
      <c r="C118" s="137"/>
      <c r="D118" s="137"/>
      <c r="E118" s="137"/>
      <c r="F118" s="137"/>
      <c r="G118" s="137"/>
      <c r="H118" s="137"/>
      <c r="I118" s="137"/>
      <c r="J118" s="137"/>
      <c r="K118" s="138"/>
    </row>
    <row r="119" spans="3:11" ht="15" hidden="1" customHeight="1" x14ac:dyDescent="0.25">
      <c r="C119" s="137"/>
      <c r="D119" s="137"/>
      <c r="E119" s="137"/>
      <c r="F119" s="137"/>
      <c r="G119" s="137"/>
      <c r="H119" s="137"/>
      <c r="I119" s="137"/>
      <c r="J119" s="137"/>
      <c r="K119" s="138"/>
    </row>
    <row r="120" spans="3:11" ht="15" hidden="1" customHeight="1" x14ac:dyDescent="0.25">
      <c r="C120" s="137"/>
      <c r="D120" s="137"/>
      <c r="E120" s="137"/>
      <c r="F120" s="137"/>
      <c r="G120" s="137"/>
      <c r="H120" s="137"/>
      <c r="I120" s="137"/>
      <c r="J120" s="137"/>
      <c r="K120" s="138"/>
    </row>
    <row r="121" spans="3:11" ht="15" hidden="1" customHeight="1" x14ac:dyDescent="0.25">
      <c r="C121" s="137"/>
      <c r="D121" s="137"/>
      <c r="E121" s="137"/>
      <c r="F121" s="137"/>
      <c r="G121" s="137"/>
      <c r="H121" s="137"/>
      <c r="I121" s="137"/>
      <c r="J121" s="137"/>
      <c r="K121" s="138"/>
    </row>
    <row r="122" spans="3:11" ht="15" hidden="1" customHeight="1" x14ac:dyDescent="0.25">
      <c r="C122" s="137"/>
      <c r="D122" s="137"/>
      <c r="E122" s="137"/>
      <c r="F122" s="137"/>
      <c r="G122" s="137"/>
      <c r="H122" s="137"/>
      <c r="I122" s="137"/>
      <c r="J122" s="137"/>
      <c r="K122" s="138"/>
    </row>
    <row r="123" spans="3:11" ht="15" hidden="1" customHeight="1" x14ac:dyDescent="0.25">
      <c r="C123" s="137"/>
      <c r="D123" s="137"/>
      <c r="E123" s="137"/>
      <c r="F123" s="137"/>
      <c r="G123" s="137"/>
      <c r="H123" s="137"/>
      <c r="I123" s="137"/>
      <c r="J123" s="137"/>
      <c r="K123" s="138"/>
    </row>
    <row r="124" spans="3:11" ht="15" hidden="1" customHeight="1" x14ac:dyDescent="0.25">
      <c r="C124" s="137"/>
      <c r="D124" s="137"/>
      <c r="E124" s="137"/>
      <c r="F124" s="137"/>
      <c r="G124" s="137"/>
      <c r="H124" s="137"/>
      <c r="I124" s="137"/>
      <c r="J124" s="137"/>
      <c r="K124" s="138"/>
    </row>
    <row r="125" spans="3:11" ht="15" hidden="1" customHeight="1" x14ac:dyDescent="0.25">
      <c r="C125" s="137"/>
      <c r="D125" s="137"/>
      <c r="E125" s="137"/>
      <c r="F125" s="137"/>
      <c r="G125" s="137"/>
      <c r="H125" s="137"/>
      <c r="I125" s="137"/>
      <c r="J125" s="137"/>
      <c r="K125" s="138"/>
    </row>
    <row r="126" spans="3:11" ht="15" hidden="1" customHeight="1" x14ac:dyDescent="0.25">
      <c r="C126" s="137"/>
      <c r="D126" s="137"/>
      <c r="E126" s="137"/>
      <c r="F126" s="137"/>
      <c r="G126" s="137"/>
      <c r="H126" s="137"/>
      <c r="I126" s="137"/>
      <c r="J126" s="137"/>
      <c r="K126" s="138"/>
    </row>
    <row r="127" spans="3:11" ht="15" hidden="1" customHeight="1" x14ac:dyDescent="0.25">
      <c r="C127" s="137"/>
      <c r="D127" s="137"/>
      <c r="E127" s="137"/>
      <c r="F127" s="137"/>
      <c r="G127" s="137"/>
      <c r="H127" s="137"/>
      <c r="I127" s="137"/>
      <c r="J127" s="137"/>
      <c r="K127" s="138"/>
    </row>
    <row r="128" spans="3:11" ht="15" hidden="1" customHeight="1" x14ac:dyDescent="0.25">
      <c r="C128" s="137"/>
      <c r="D128" s="137"/>
      <c r="E128" s="137"/>
      <c r="F128" s="137"/>
      <c r="G128" s="137"/>
      <c r="H128" s="137"/>
      <c r="I128" s="137"/>
      <c r="J128" s="137"/>
      <c r="K128" s="138"/>
    </row>
    <row r="129" spans="3:11" ht="15" hidden="1" customHeight="1" x14ac:dyDescent="0.25">
      <c r="C129" s="137"/>
      <c r="D129" s="137"/>
      <c r="E129" s="137"/>
      <c r="F129" s="137"/>
      <c r="G129" s="137"/>
      <c r="H129" s="137"/>
      <c r="I129" s="137"/>
      <c r="J129" s="137"/>
      <c r="K129" s="138"/>
    </row>
    <row r="130" spans="3:11" ht="15" hidden="1" customHeight="1" x14ac:dyDescent="0.25">
      <c r="C130" s="137"/>
      <c r="D130" s="137"/>
      <c r="E130" s="137"/>
      <c r="F130" s="137"/>
      <c r="G130" s="137"/>
      <c r="H130" s="137"/>
      <c r="I130" s="137"/>
      <c r="J130" s="137"/>
      <c r="K130" s="138"/>
    </row>
    <row r="131" spans="3:11" ht="15" hidden="1" customHeight="1" x14ac:dyDescent="0.25">
      <c r="C131" s="137"/>
      <c r="D131" s="137"/>
      <c r="E131" s="137"/>
      <c r="F131" s="137"/>
      <c r="G131" s="137"/>
      <c r="H131" s="137"/>
      <c r="I131" s="137"/>
      <c r="J131" s="137"/>
      <c r="K131" s="138"/>
    </row>
    <row r="132" spans="3:11" ht="15" hidden="1" customHeight="1" x14ac:dyDescent="0.25">
      <c r="C132" s="137"/>
      <c r="D132" s="137"/>
      <c r="E132" s="137"/>
      <c r="F132" s="137"/>
      <c r="G132" s="137"/>
      <c r="H132" s="137"/>
      <c r="I132" s="137"/>
      <c r="J132" s="137"/>
      <c r="K132" s="138"/>
    </row>
    <row r="133" spans="3:11" ht="15" hidden="1" customHeight="1" x14ac:dyDescent="0.25">
      <c r="C133" s="137"/>
      <c r="D133" s="137"/>
      <c r="E133" s="137"/>
      <c r="F133" s="137"/>
      <c r="G133" s="137"/>
      <c r="H133" s="137"/>
      <c r="I133" s="137"/>
      <c r="J133" s="137"/>
      <c r="K133" s="138"/>
    </row>
    <row r="134" spans="3:11" ht="15" hidden="1" customHeight="1" x14ac:dyDescent="0.25">
      <c r="C134" s="137"/>
      <c r="D134" s="137"/>
      <c r="E134" s="137"/>
      <c r="F134" s="137"/>
      <c r="G134" s="137"/>
      <c r="H134" s="137"/>
      <c r="I134" s="137"/>
      <c r="J134" s="137"/>
      <c r="K134" s="138"/>
    </row>
    <row r="135" spans="3:11" ht="15" hidden="1" customHeight="1" x14ac:dyDescent="0.25">
      <c r="C135" s="137"/>
      <c r="D135" s="137"/>
      <c r="E135" s="137"/>
      <c r="F135" s="137"/>
      <c r="G135" s="137"/>
      <c r="H135" s="137"/>
      <c r="I135" s="137"/>
      <c r="J135" s="137"/>
      <c r="K135" s="138"/>
    </row>
    <row r="136" spans="3:11" ht="15" hidden="1" customHeight="1" x14ac:dyDescent="0.25">
      <c r="C136" s="137"/>
      <c r="D136" s="137"/>
      <c r="E136" s="137"/>
      <c r="F136" s="137"/>
      <c r="G136" s="137"/>
      <c r="H136" s="137"/>
      <c r="I136" s="137"/>
      <c r="J136" s="137"/>
      <c r="K136" s="138"/>
    </row>
    <row r="137" spans="3:11" ht="15" hidden="1" customHeight="1" x14ac:dyDescent="0.25">
      <c r="C137" s="137"/>
      <c r="D137" s="137"/>
      <c r="E137" s="137"/>
      <c r="F137" s="137"/>
      <c r="G137" s="137"/>
      <c r="H137" s="137"/>
      <c r="I137" s="137"/>
      <c r="J137" s="137"/>
      <c r="K137" s="138"/>
    </row>
    <row r="138" spans="3:11" ht="15" hidden="1" customHeight="1" x14ac:dyDescent="0.25">
      <c r="C138" s="137"/>
      <c r="D138" s="137"/>
      <c r="E138" s="137"/>
      <c r="F138" s="137"/>
      <c r="G138" s="137"/>
      <c r="H138" s="137"/>
      <c r="I138" s="137"/>
      <c r="J138" s="137"/>
      <c r="K138" s="138"/>
    </row>
    <row r="139" spans="3:11" ht="15" hidden="1" customHeight="1" x14ac:dyDescent="0.25">
      <c r="C139" s="137"/>
      <c r="D139" s="137"/>
      <c r="E139" s="137"/>
      <c r="F139" s="137"/>
      <c r="G139" s="137"/>
      <c r="H139" s="137"/>
      <c r="I139" s="137"/>
      <c r="J139" s="137"/>
      <c r="K139" s="138"/>
    </row>
    <row r="140" spans="3:11" ht="15" hidden="1" customHeight="1" x14ac:dyDescent="0.25">
      <c r="C140" s="137"/>
      <c r="D140" s="137"/>
      <c r="E140" s="137"/>
      <c r="F140" s="137"/>
      <c r="G140" s="137"/>
      <c r="H140" s="137"/>
      <c r="I140" s="137"/>
      <c r="J140" s="137"/>
      <c r="K140" s="138"/>
    </row>
    <row r="141" spans="3:11" ht="15" hidden="1" customHeight="1" x14ac:dyDescent="0.25">
      <c r="C141" s="137"/>
      <c r="D141" s="137"/>
      <c r="E141" s="137"/>
      <c r="F141" s="137"/>
      <c r="G141" s="137"/>
      <c r="H141" s="137"/>
      <c r="I141" s="137"/>
      <c r="J141" s="137"/>
      <c r="K141" s="138"/>
    </row>
    <row r="142" spans="3:11" ht="15" hidden="1" customHeight="1" x14ac:dyDescent="0.25">
      <c r="C142" s="137"/>
      <c r="D142" s="137"/>
      <c r="E142" s="137"/>
      <c r="F142" s="137"/>
      <c r="G142" s="137"/>
      <c r="H142" s="137"/>
      <c r="I142" s="137"/>
      <c r="J142" s="137"/>
      <c r="K142" s="138"/>
    </row>
    <row r="143" spans="3:11" ht="15" hidden="1" customHeight="1" x14ac:dyDescent="0.25">
      <c r="C143" s="137"/>
      <c r="D143" s="137"/>
      <c r="E143" s="137"/>
      <c r="F143" s="137"/>
      <c r="G143" s="137"/>
      <c r="H143" s="137"/>
      <c r="I143" s="137"/>
      <c r="J143" s="137"/>
      <c r="K143" s="138"/>
    </row>
    <row r="144" spans="3:11" ht="15" hidden="1" customHeight="1" x14ac:dyDescent="0.25">
      <c r="C144" s="137"/>
      <c r="D144" s="137"/>
      <c r="E144" s="137"/>
      <c r="F144" s="137"/>
      <c r="G144" s="137"/>
      <c r="H144" s="137"/>
      <c r="I144" s="137"/>
      <c r="J144" s="137"/>
      <c r="K144" s="138"/>
    </row>
    <row r="145" spans="3:11" ht="15" hidden="1" customHeight="1" x14ac:dyDescent="0.25">
      <c r="C145" s="137"/>
      <c r="D145" s="137"/>
      <c r="E145" s="137"/>
      <c r="F145" s="137"/>
      <c r="G145" s="137"/>
      <c r="H145" s="137"/>
      <c r="I145" s="137"/>
      <c r="J145" s="137"/>
      <c r="K145" s="138"/>
    </row>
    <row r="146" spans="3:11" ht="15" hidden="1" customHeight="1" x14ac:dyDescent="0.25">
      <c r="C146" s="137"/>
      <c r="D146" s="137"/>
      <c r="E146" s="137"/>
      <c r="F146" s="137"/>
      <c r="G146" s="137"/>
      <c r="H146" s="137"/>
      <c r="I146" s="137"/>
      <c r="J146" s="137"/>
      <c r="K146" s="138"/>
    </row>
    <row r="147" spans="3:11" ht="15" hidden="1" customHeight="1" x14ac:dyDescent="0.25">
      <c r="C147" s="137"/>
      <c r="D147" s="137"/>
      <c r="E147" s="137"/>
      <c r="F147" s="137"/>
      <c r="G147" s="137"/>
      <c r="H147" s="137"/>
      <c r="I147" s="137"/>
      <c r="J147" s="137"/>
      <c r="K147" s="138"/>
    </row>
    <row r="148" spans="3:11" ht="15" hidden="1" customHeight="1" x14ac:dyDescent="0.25">
      <c r="C148" s="137"/>
      <c r="D148" s="137"/>
      <c r="E148" s="137"/>
      <c r="F148" s="137"/>
      <c r="G148" s="137"/>
      <c r="H148" s="137"/>
      <c r="I148" s="137"/>
      <c r="J148" s="137"/>
      <c r="K148" s="138"/>
    </row>
    <row r="149" spans="3:11" ht="15" hidden="1" customHeight="1" x14ac:dyDescent="0.25">
      <c r="C149" s="137"/>
      <c r="D149" s="137"/>
      <c r="E149" s="137"/>
      <c r="F149" s="137"/>
      <c r="G149" s="137"/>
      <c r="H149" s="137"/>
      <c r="I149" s="137"/>
      <c r="J149" s="137"/>
      <c r="K149" s="138"/>
    </row>
    <row r="150" spans="3:11" ht="15" hidden="1" customHeight="1" x14ac:dyDescent="0.25">
      <c r="C150" s="137"/>
      <c r="D150" s="137"/>
      <c r="E150" s="137"/>
      <c r="F150" s="137"/>
      <c r="G150" s="137"/>
      <c r="H150" s="137"/>
      <c r="I150" s="137"/>
      <c r="J150" s="137"/>
      <c r="K150" s="138"/>
    </row>
    <row r="151" spans="3:11" ht="15" hidden="1" customHeight="1" x14ac:dyDescent="0.25">
      <c r="C151" s="137"/>
      <c r="D151" s="137"/>
      <c r="E151" s="137"/>
      <c r="F151" s="137"/>
      <c r="G151" s="137"/>
      <c r="H151" s="137"/>
      <c r="I151" s="137"/>
      <c r="J151" s="137"/>
      <c r="K151" s="138"/>
    </row>
    <row r="152" spans="3:11" ht="15" hidden="1" customHeight="1" x14ac:dyDescent="0.25">
      <c r="C152" s="137"/>
      <c r="D152" s="137"/>
      <c r="E152" s="137"/>
      <c r="F152" s="137"/>
      <c r="G152" s="137"/>
      <c r="H152" s="137"/>
      <c r="I152" s="137"/>
      <c r="J152" s="137"/>
      <c r="K152" s="138"/>
    </row>
    <row r="153" spans="3:11" ht="15" hidden="1" customHeight="1" x14ac:dyDescent="0.25">
      <c r="C153" s="137"/>
      <c r="D153" s="137"/>
      <c r="E153" s="137"/>
      <c r="F153" s="137"/>
      <c r="G153" s="137"/>
      <c r="H153" s="137"/>
      <c r="I153" s="137"/>
      <c r="J153" s="137"/>
      <c r="K153" s="138"/>
    </row>
    <row r="154" spans="3:11" ht="15" hidden="1" customHeight="1" x14ac:dyDescent="0.25">
      <c r="C154" s="137"/>
      <c r="D154" s="137"/>
      <c r="E154" s="137"/>
      <c r="F154" s="137"/>
      <c r="G154" s="137"/>
      <c r="H154" s="137"/>
      <c r="I154" s="137"/>
      <c r="J154" s="137"/>
      <c r="K154" s="138"/>
    </row>
  </sheetData>
  <sheetProtection password="C985" sheet="1" objects="1" scenarios="1"/>
  <mergeCells count="3">
    <mergeCell ref="C4:J4"/>
    <mergeCell ref="A1:J1"/>
    <mergeCell ref="L1:M1"/>
  </mergeCells>
  <dataValidations count="3">
    <dataValidation type="list" allowBlank="1" showInputMessage="1" sqref="D51:D65 D71:E80 D35:D45 D19:D29">
      <formula1>Pipes</formula1>
    </dataValidation>
    <dataValidation type="list" allowBlank="1" showInputMessage="1" sqref="D30:D34">
      <formula1>#REF!</formula1>
    </dataValidation>
    <dataValidation allowBlank="1" showInputMessage="1" showErrorMessage="1" promptTitle="Surge Allowance" prompt="20m is the standard MRWA allowance of surge" sqref="F10"/>
  </dataValidations>
  <hyperlinks>
    <hyperlink ref="L1:M1" location="Dashboard!A1" display="Menu"/>
  </hyperlinks>
  <pageMargins left="0.70866141732283472" right="0.70866141732283472" top="0.55118110236220474" bottom="0.55118110236220474" header="0.31496062992125984" footer="0.31496062992125984"/>
  <pageSetup paperSize="9" scale="71" fitToHeight="2" orientation="portrait" r:id="rId1"/>
  <rowBreaks count="1" manualBreakCount="1">
    <brk id="4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Settings!$C$5:$C$10</xm:f>
          </x14:formula1>
          <xm:sqref>E51:E65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L41"/>
  <sheetViews>
    <sheetView showGridLines="0" zoomScale="115" zoomScaleNormal="115" workbookViewId="0">
      <pane ySplit="1" topLeftCell="A2" activePane="bottomLeft" state="frozenSplit"/>
      <selection pane="bottomLeft" activeCell="K1" sqref="K1:L1"/>
    </sheetView>
  </sheetViews>
  <sheetFormatPr defaultColWidth="0" defaultRowHeight="0" customHeight="1" zeroHeight="1" x14ac:dyDescent="0.25"/>
  <cols>
    <col min="1" max="1" width="9.140625" style="51" customWidth="1"/>
    <col min="2" max="2" width="4.85546875" style="51" customWidth="1"/>
    <col min="3" max="3" width="19.140625" style="50" customWidth="1"/>
    <col min="4" max="4" width="21" style="50" bestFit="1" customWidth="1"/>
    <col min="5" max="5" width="4.5703125" style="50" customWidth="1"/>
    <col min="6" max="6" width="6.85546875" style="50" customWidth="1"/>
    <col min="7" max="7" width="5.28515625" style="50" customWidth="1"/>
    <col min="8" max="8" width="17.85546875" style="50" bestFit="1" customWidth="1"/>
    <col min="9" max="9" width="22" style="50" bestFit="1" customWidth="1"/>
    <col min="10" max="10" width="6.140625" style="50" customWidth="1"/>
    <col min="11" max="11" width="8.85546875" style="51" customWidth="1"/>
    <col min="12" max="16384" width="9.140625" style="50" hidden="1"/>
  </cols>
  <sheetData>
    <row r="1" spans="1:12" ht="23.25" customHeight="1" x14ac:dyDescent="0.25">
      <c r="A1" s="224" t="s">
        <v>52</v>
      </c>
      <c r="B1" s="79"/>
      <c r="C1" s="79"/>
      <c r="D1" s="79"/>
      <c r="E1" s="79"/>
      <c r="F1" s="79"/>
      <c r="G1" s="79"/>
      <c r="H1" s="79"/>
      <c r="I1" s="79"/>
      <c r="J1" s="223"/>
      <c r="K1" s="346" t="s">
        <v>170</v>
      </c>
      <c r="L1" s="347"/>
    </row>
    <row r="2" spans="1:12" ht="15.75" thickBot="1" x14ac:dyDescent="0.3">
      <c r="C2" s="51"/>
      <c r="D2" s="51"/>
      <c r="E2" s="51"/>
      <c r="F2" s="51"/>
      <c r="G2" s="51"/>
      <c r="H2" s="51"/>
      <c r="I2" s="51"/>
      <c r="J2" s="51"/>
    </row>
    <row r="3" spans="1:12" ht="6" customHeight="1" x14ac:dyDescent="0.25">
      <c r="B3" s="139"/>
      <c r="C3" s="140"/>
      <c r="D3" s="140"/>
      <c r="E3" s="141"/>
      <c r="F3" s="142"/>
      <c r="G3" s="271"/>
      <c r="H3" s="272"/>
      <c r="I3" s="272"/>
      <c r="J3" s="273"/>
    </row>
    <row r="4" spans="1:12" ht="15.75" x14ac:dyDescent="0.25">
      <c r="B4" s="360" t="s">
        <v>205</v>
      </c>
      <c r="C4" s="354"/>
      <c r="D4" s="354"/>
      <c r="E4" s="361"/>
      <c r="F4" s="142"/>
      <c r="G4" s="293"/>
      <c r="H4" s="280" t="s">
        <v>39</v>
      </c>
      <c r="I4" s="281"/>
      <c r="J4" s="294"/>
    </row>
    <row r="5" spans="1:12" ht="15" x14ac:dyDescent="0.25">
      <c r="B5" s="143"/>
      <c r="C5" s="144"/>
      <c r="D5" s="144"/>
      <c r="E5" s="145"/>
      <c r="F5" s="142"/>
      <c r="G5" s="274"/>
      <c r="H5" s="257"/>
      <c r="I5" s="257"/>
      <c r="J5" s="276"/>
    </row>
    <row r="6" spans="1:12" ht="15" x14ac:dyDescent="0.25">
      <c r="B6" s="143"/>
      <c r="C6" s="146" t="s">
        <v>47</v>
      </c>
      <c r="D6" s="147">
        <v>50</v>
      </c>
      <c r="E6" s="145"/>
      <c r="F6" s="292"/>
      <c r="G6" s="274"/>
      <c r="H6" s="146" t="s">
        <v>198</v>
      </c>
      <c r="I6" s="262">
        <v>250</v>
      </c>
      <c r="J6" s="276"/>
    </row>
    <row r="7" spans="1:12" ht="15" x14ac:dyDescent="0.25">
      <c r="B7" s="143"/>
      <c r="C7" s="144"/>
      <c r="D7" s="148"/>
      <c r="E7" s="145"/>
      <c r="F7" s="142"/>
      <c r="G7" s="274"/>
      <c r="H7" s="144" t="s">
        <v>199</v>
      </c>
      <c r="I7" s="148"/>
      <c r="J7" s="276"/>
    </row>
    <row r="8" spans="1:12" ht="15" x14ac:dyDescent="0.25">
      <c r="B8" s="143"/>
      <c r="C8" s="146" t="s">
        <v>46</v>
      </c>
      <c r="D8" s="147" t="s">
        <v>154</v>
      </c>
      <c r="E8" s="145"/>
      <c r="F8" s="142"/>
      <c r="G8" s="274"/>
      <c r="H8" s="258"/>
      <c r="I8" s="258"/>
      <c r="J8" s="276"/>
    </row>
    <row r="9" spans="1:12" ht="15" x14ac:dyDescent="0.25">
      <c r="B9" s="143"/>
      <c r="C9" s="144"/>
      <c r="D9" s="148"/>
      <c r="E9" s="145"/>
      <c r="F9" s="142"/>
      <c r="G9" s="274"/>
      <c r="H9" s="146" t="s">
        <v>38</v>
      </c>
      <c r="I9" s="289">
        <f>SQRT(D23/0.6)*1000</f>
        <v>618.07982224520708</v>
      </c>
      <c r="J9" s="276"/>
    </row>
    <row r="10" spans="1:12" ht="15" x14ac:dyDescent="0.25">
      <c r="B10" s="143"/>
      <c r="C10" s="146" t="s">
        <v>44</v>
      </c>
      <c r="D10" s="147" t="s">
        <v>202</v>
      </c>
      <c r="E10" s="145"/>
      <c r="F10" s="142"/>
      <c r="G10" s="274"/>
      <c r="H10" s="151"/>
      <c r="I10" s="151"/>
      <c r="J10" s="276"/>
    </row>
    <row r="11" spans="1:12" ht="17.25" customHeight="1" x14ac:dyDescent="0.25">
      <c r="B11" s="143"/>
      <c r="C11" s="144"/>
      <c r="D11" s="148"/>
      <c r="E11" s="145"/>
      <c r="F11" s="142"/>
      <c r="G11" s="274"/>
      <c r="H11" s="146" t="s">
        <v>37</v>
      </c>
      <c r="I11" s="290">
        <f>I9*0.6</f>
        <v>370.84789334712423</v>
      </c>
      <c r="J11" s="276"/>
    </row>
    <row r="12" spans="1:12" ht="15" x14ac:dyDescent="0.25">
      <c r="B12" s="143"/>
      <c r="C12" s="146" t="s">
        <v>45</v>
      </c>
      <c r="D12" s="147">
        <v>100</v>
      </c>
      <c r="E12" s="145"/>
      <c r="F12" s="142"/>
      <c r="G12" s="274"/>
      <c r="H12" s="151"/>
      <c r="I12" s="151"/>
      <c r="J12" s="276"/>
    </row>
    <row r="13" spans="1:12" ht="15" x14ac:dyDescent="0.25">
      <c r="B13" s="143"/>
      <c r="C13" s="267" t="s">
        <v>207</v>
      </c>
      <c r="D13" s="148"/>
      <c r="E13" s="145"/>
      <c r="F13" s="142"/>
      <c r="G13" s="274"/>
      <c r="H13" s="146" t="s">
        <v>111</v>
      </c>
      <c r="I13" s="291">
        <f>I6*I9*I11/1000000000</f>
        <v>5.7303400000000004E-2</v>
      </c>
      <c r="J13" s="276"/>
    </row>
    <row r="14" spans="1:12" ht="15" x14ac:dyDescent="0.25">
      <c r="B14" s="143"/>
      <c r="C14" s="146" t="s">
        <v>49</v>
      </c>
      <c r="D14" s="263">
        <v>90</v>
      </c>
      <c r="E14" s="145"/>
      <c r="F14" s="142"/>
      <c r="G14" s="274"/>
      <c r="H14" s="284"/>
      <c r="I14" s="284"/>
      <c r="J14" s="276"/>
    </row>
    <row r="15" spans="1:12" ht="15" customHeight="1" x14ac:dyDescent="0.25">
      <c r="B15" s="143"/>
      <c r="C15" s="362" t="s">
        <v>43</v>
      </c>
      <c r="D15" s="362"/>
      <c r="E15" s="145"/>
      <c r="F15" s="142"/>
      <c r="G15" s="274"/>
      <c r="H15" s="365" t="s">
        <v>197</v>
      </c>
      <c r="I15" s="366"/>
      <c r="J15" s="276"/>
    </row>
    <row r="16" spans="1:12" ht="1.5" customHeight="1" x14ac:dyDescent="0.25">
      <c r="B16" s="143"/>
      <c r="C16" s="144"/>
      <c r="D16" s="148"/>
      <c r="E16" s="145"/>
      <c r="F16" s="142"/>
      <c r="G16" s="274"/>
      <c r="H16" s="366"/>
      <c r="I16" s="366"/>
      <c r="J16" s="276"/>
    </row>
    <row r="17" spans="2:10" ht="15" customHeight="1" x14ac:dyDescent="0.25">
      <c r="B17" s="143"/>
      <c r="C17" s="146" t="s">
        <v>206</v>
      </c>
      <c r="D17" s="147">
        <v>100</v>
      </c>
      <c r="E17" s="145"/>
      <c r="F17" s="142"/>
      <c r="G17" s="274"/>
      <c r="H17" s="366"/>
      <c r="I17" s="366"/>
      <c r="J17" s="276"/>
    </row>
    <row r="18" spans="2:10" ht="15" customHeight="1" x14ac:dyDescent="0.25">
      <c r="B18" s="143"/>
      <c r="C18" s="144"/>
      <c r="D18" s="148"/>
      <c r="E18" s="145"/>
      <c r="F18" s="142"/>
      <c r="G18" s="274"/>
      <c r="H18" s="366"/>
      <c r="I18" s="366"/>
      <c r="J18" s="276"/>
    </row>
    <row r="19" spans="2:10" ht="15" x14ac:dyDescent="0.25">
      <c r="B19" s="143"/>
      <c r="C19" s="146" t="s">
        <v>42</v>
      </c>
      <c r="D19" s="124">
        <f>IF(D6&lt;80,100,D6*1.25)</f>
        <v>100</v>
      </c>
      <c r="E19" s="145"/>
      <c r="F19" s="142"/>
      <c r="G19" s="274"/>
      <c r="H19" s="366"/>
      <c r="I19" s="366"/>
      <c r="J19" s="276"/>
    </row>
    <row r="20" spans="2:10" ht="15" x14ac:dyDescent="0.25">
      <c r="B20" s="143"/>
      <c r="C20" s="144"/>
      <c r="D20" s="148"/>
      <c r="E20" s="145"/>
      <c r="F20" s="142"/>
      <c r="G20" s="274"/>
      <c r="H20" s="277"/>
      <c r="I20" s="278"/>
      <c r="J20" s="276"/>
    </row>
    <row r="21" spans="2:10" ht="15" x14ac:dyDescent="0.25">
      <c r="B21" s="143"/>
      <c r="C21" s="146" t="s">
        <v>41</v>
      </c>
      <c r="D21" s="123">
        <f>IF((VLOOKUP(D10, Settings!B5:B8, 1, FALSE)) = "Bend", 1.54*0.00001*D19*(VLOOKUP(D12,PipeSizes, 2))^2*SIN((D14*PI())/360),IF((VLOOKUP(D10, Settings!B5:B8, 1, FALSE)) = "Taper",IF(0.77*0.00001*D19*((VLOOKUP(D12,PipeSizes,2))^2-(VLOOKUP(D17,PipeSizes,2))^2)&lt;=0,"Error",0.77*0.00001*D19*((VLOOKUP(D12,PipeSizes,2))^2-(VLOOKUP(D17,PipeSizes,2))^2)),0.77*0.00001*D19*(VLOOKUP(D12, PipeSizes, 2))^2))</f>
        <v>11.460680000000002</v>
      </c>
      <c r="E21" s="145"/>
      <c r="F21" s="142"/>
      <c r="G21" s="274"/>
      <c r="H21" s="259"/>
      <c r="I21" s="279"/>
      <c r="J21" s="276"/>
    </row>
    <row r="22" spans="2:10" ht="15" x14ac:dyDescent="0.25">
      <c r="B22" s="143"/>
      <c r="C22" s="144"/>
      <c r="D22" s="148"/>
      <c r="E22" s="145"/>
      <c r="F22" s="142"/>
      <c r="G22" s="274"/>
      <c r="H22" s="259"/>
      <c r="I22" s="260"/>
      <c r="J22" s="276"/>
    </row>
    <row r="23" spans="2:10" ht="15" x14ac:dyDescent="0.25">
      <c r="B23" s="143"/>
      <c r="C23" s="146" t="s">
        <v>50</v>
      </c>
      <c r="D23" s="126">
        <f>IF(AND(OR(D10="Taper",D10="Valve"),(D21/(VLOOKUP(D8, SoilTypes, 2, FALSE)))&lt;=0.3),0.3,IF((D21/(VLOOKUP(D8, SoilTypes, 2, FALSE)))&lt;=0.18, 0.18, (D21/(VLOOKUP(D8, SoilTypes, 2, FALSE)))))</f>
        <v>0.22921360000000005</v>
      </c>
      <c r="E23" s="145"/>
      <c r="F23" s="142"/>
      <c r="G23" s="274"/>
      <c r="H23" s="364"/>
      <c r="I23" s="364"/>
      <c r="J23" s="276"/>
    </row>
    <row r="24" spans="2:10" ht="15" x14ac:dyDescent="0.25">
      <c r="B24" s="143"/>
      <c r="C24" s="146"/>
      <c r="D24" s="149"/>
      <c r="E24" s="145"/>
      <c r="F24" s="142"/>
      <c r="G24" s="274"/>
      <c r="H24" s="275"/>
      <c r="I24" s="275"/>
      <c r="J24" s="276"/>
    </row>
    <row r="25" spans="2:10" ht="15" x14ac:dyDescent="0.25">
      <c r="B25" s="143"/>
      <c r="C25" s="146" t="s">
        <v>40</v>
      </c>
      <c r="D25" s="150" t="str">
        <f>IF(D23&gt;0.18, "Concrete",IF(VLOOKUP(D12,PipeSizes, 2)&gt;300,"Concrete",IF(D19&gt;140, "Concrete",IF(D10="Valve","Concrete",IF(D10="Taper","Concrete","Timber or Concrete")))))</f>
        <v>Concrete</v>
      </c>
      <c r="E25" s="145"/>
      <c r="F25" s="142"/>
      <c r="G25" s="274"/>
      <c r="H25" s="363"/>
      <c r="I25" s="363"/>
      <c r="J25" s="276"/>
    </row>
    <row r="26" spans="2:10" ht="15" x14ac:dyDescent="0.25">
      <c r="B26" s="77"/>
      <c r="C26" s="49"/>
      <c r="D26" s="49"/>
      <c r="E26" s="53"/>
      <c r="F26" s="51"/>
      <c r="G26" s="295"/>
      <c r="H26" s="282"/>
      <c r="I26" s="282"/>
      <c r="J26" s="283"/>
    </row>
    <row r="27" spans="2:10" ht="15.75" thickBot="1" x14ac:dyDescent="0.3">
      <c r="B27" s="60"/>
      <c r="C27" s="356" t="s">
        <v>141</v>
      </c>
      <c r="D27" s="356"/>
      <c r="E27" s="59"/>
      <c r="F27" s="51"/>
      <c r="G27" s="295"/>
      <c r="H27" s="282"/>
      <c r="I27" s="282"/>
      <c r="J27" s="283"/>
    </row>
    <row r="28" spans="2:10" ht="15" x14ac:dyDescent="0.25">
      <c r="C28" s="51"/>
      <c r="D28" s="51"/>
      <c r="E28" s="51"/>
      <c r="F28" s="51"/>
      <c r="G28" s="295"/>
      <c r="H28" s="282"/>
      <c r="I28" s="282"/>
      <c r="J28" s="283"/>
    </row>
    <row r="29" spans="2:10" ht="23.25" customHeight="1" x14ac:dyDescent="0.25">
      <c r="B29" s="286"/>
      <c r="C29" s="286"/>
      <c r="D29" s="286"/>
      <c r="E29" s="287"/>
      <c r="F29" s="287"/>
      <c r="G29" s="296"/>
      <c r="H29" s="285"/>
      <c r="I29" s="285"/>
      <c r="J29" s="297"/>
    </row>
    <row r="30" spans="2:10" ht="13.5" customHeight="1" x14ac:dyDescent="0.25">
      <c r="B30" s="286"/>
      <c r="C30" s="286"/>
      <c r="D30" s="286"/>
      <c r="E30" s="288"/>
      <c r="F30" s="288"/>
      <c r="G30" s="298"/>
      <c r="H30" s="285"/>
      <c r="I30" s="285"/>
      <c r="J30" s="297"/>
    </row>
    <row r="31" spans="2:10" ht="7.5" customHeight="1" x14ac:dyDescent="0.25">
      <c r="B31" s="286"/>
      <c r="C31" s="286"/>
      <c r="D31" s="286"/>
      <c r="E31" s="288"/>
      <c r="F31" s="288"/>
      <c r="G31" s="298"/>
      <c r="H31" s="285"/>
      <c r="I31" s="285"/>
      <c r="J31" s="297"/>
    </row>
    <row r="32" spans="2:10" ht="14.25" customHeight="1" x14ac:dyDescent="0.25">
      <c r="B32" s="286"/>
      <c r="C32" s="286"/>
      <c r="D32" s="286"/>
      <c r="E32" s="288"/>
      <c r="F32" s="288"/>
      <c r="G32" s="357" t="s">
        <v>145</v>
      </c>
      <c r="H32" s="358"/>
      <c r="I32" s="358"/>
      <c r="J32" s="359"/>
    </row>
    <row r="33" spans="2:11" ht="6.75" customHeight="1" thickBot="1" x14ac:dyDescent="0.3">
      <c r="B33" s="286"/>
      <c r="C33" s="286"/>
      <c r="D33" s="286"/>
      <c r="E33" s="288"/>
      <c r="F33" s="288"/>
      <c r="G33" s="299"/>
      <c r="H33" s="61"/>
      <c r="I33" s="61"/>
      <c r="J33" s="300"/>
    </row>
    <row r="34" spans="2:11" ht="15" x14ac:dyDescent="0.25">
      <c r="C34" s="51"/>
      <c r="D34" s="51"/>
      <c r="E34" s="51"/>
      <c r="F34" s="51"/>
      <c r="G34" s="51"/>
      <c r="H34" s="51"/>
      <c r="I34" s="51"/>
      <c r="J34" s="51"/>
      <c r="K34" s="29" t="s">
        <v>228</v>
      </c>
    </row>
    <row r="35" spans="2:11" ht="15" hidden="1" customHeight="1" x14ac:dyDescent="0.25">
      <c r="C35" s="51"/>
      <c r="D35" s="51"/>
      <c r="E35" s="51"/>
      <c r="F35" s="51"/>
      <c r="G35" s="51"/>
      <c r="H35" s="51"/>
      <c r="I35" s="51"/>
      <c r="J35" s="51"/>
    </row>
    <row r="36" spans="2:11" ht="15" hidden="1" customHeight="1" x14ac:dyDescent="0.25">
      <c r="C36" s="51"/>
      <c r="D36" s="51"/>
      <c r="E36" s="51"/>
      <c r="F36" s="51"/>
      <c r="G36" s="51"/>
      <c r="H36" s="51"/>
      <c r="I36" s="51"/>
      <c r="J36" s="51"/>
    </row>
    <row r="37" spans="2:11" ht="15" hidden="1" customHeight="1" x14ac:dyDescent="0.25"/>
    <row r="38" spans="2:11" ht="15" hidden="1" customHeight="1" x14ac:dyDescent="0.25"/>
    <row r="39" spans="2:11" ht="15" hidden="1" customHeight="1" x14ac:dyDescent="0.25"/>
    <row r="40" spans="2:11" ht="0" hidden="1" customHeight="1" x14ac:dyDescent="0.25"/>
    <row r="41" spans="2:11" ht="0" hidden="1" customHeight="1" x14ac:dyDescent="0.25"/>
  </sheetData>
  <sheetProtection password="C985" sheet="1" objects="1" scenarios="1"/>
  <mergeCells count="8">
    <mergeCell ref="C27:D27"/>
    <mergeCell ref="G32:J32"/>
    <mergeCell ref="B4:E4"/>
    <mergeCell ref="C15:D15"/>
    <mergeCell ref="K1:L1"/>
    <mergeCell ref="H25:I25"/>
    <mergeCell ref="H23:I23"/>
    <mergeCell ref="H15:I19"/>
  </mergeCells>
  <conditionalFormatting sqref="D25">
    <cfRule type="cellIs" dxfId="10" priority="9" operator="equal">
      <formula>"Concrete"</formula>
    </cfRule>
    <cfRule type="cellIs" dxfId="9" priority="10" operator="equal">
      <formula>"Timber Or Concrete"</formula>
    </cfRule>
    <cfRule type="cellIs" dxfId="8" priority="11" operator="equal">
      <formula>"Nominal Thrust"</formula>
    </cfRule>
  </conditionalFormatting>
  <conditionalFormatting sqref="C14:D15">
    <cfRule type="expression" dxfId="7" priority="12">
      <formula>$D$10&lt;&gt;"Bend"</formula>
    </cfRule>
  </conditionalFormatting>
  <conditionalFormatting sqref="H8:I8">
    <cfRule type="expression" dxfId="6" priority="13">
      <formula>$D$10="Valves, Tees &amp; Dead Ends"</formula>
    </cfRule>
  </conditionalFormatting>
  <conditionalFormatting sqref="C17:D17">
    <cfRule type="expression" dxfId="5" priority="14">
      <formula>$D$10&lt;&gt;"Taper"</formula>
    </cfRule>
  </conditionalFormatting>
  <conditionalFormatting sqref="C13">
    <cfRule type="expression" dxfId="4" priority="1">
      <formula>$D$10&lt;&gt;"Taper"</formula>
    </cfRule>
  </conditionalFormatting>
  <dataValidations count="1">
    <dataValidation type="list" allowBlank="1" showInputMessage="1" showErrorMessage="1" sqref="D12 D17">
      <formula1>Pipes</formula1>
    </dataValidation>
  </dataValidations>
  <hyperlinks>
    <hyperlink ref="K1:L1" location="Dashboard!A1" display="Menu"/>
  </hyperlinks>
  <pageMargins left="0.7" right="0.7" top="0.75" bottom="0.75" header="0.3" footer="0.3"/>
  <pageSetup paperSize="9" orientation="portrait" verticalDpi="0" r:id="rId1"/>
  <drawing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Settings!B5:B8</xm:f>
          </x14:formula1>
          <xm:sqref>D10</xm:sqref>
        </x14:dataValidation>
        <x14:dataValidation type="list" allowBlank="1" showInputMessage="1" showErrorMessage="1">
          <x14:formula1>
            <xm:f>Settings!F5:F11</xm:f>
          </x14:formula1>
          <xm:sqref>D8</xm:sqref>
        </x14:dataValidation>
        <x14:dataValidation type="list" allowBlank="1" showInputMessage="1" showErrorMessage="1">
          <x14:formula1>
            <xm:f>Settings!C5:C10</xm:f>
          </x14:formula1>
          <xm:sqref>D14</xm:sqref>
        </x14:dataValidation>
        <x14:dataValidation type="list" allowBlank="1" showInputMessage="1" showErrorMessage="1">
          <x14:formula1>
            <xm:f>Settings!B5:B8</xm:f>
          </x14:formula1>
          <xm:sqref>D10</xm:sqref>
        </x14:dataValidation>
        <x14:dataValidation type="list" allowBlank="1" showInputMessage="1" showErrorMessage="1">
          <x14:formula1>
            <xm:f>Settings!F5:F11</xm:f>
          </x14:formula1>
          <xm:sqref>D8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AG94"/>
  <sheetViews>
    <sheetView showGridLines="0" showRowColHeaders="0" zoomScale="85" zoomScaleNormal="85" workbookViewId="0">
      <pane ySplit="1" topLeftCell="A2" activePane="bottomLeft" state="frozenSplit"/>
      <selection pane="bottomLeft" activeCell="T1" sqref="T1:U1"/>
    </sheetView>
  </sheetViews>
  <sheetFormatPr defaultColWidth="0" defaultRowHeight="0" customHeight="1" zeroHeight="1" x14ac:dyDescent="0.2"/>
  <cols>
    <col min="1" max="1" width="9.140625" style="153" customWidth="1"/>
    <col min="2" max="4" width="11.140625" style="153" customWidth="1"/>
    <col min="5" max="5" width="9.140625" style="153" customWidth="1"/>
    <col min="6" max="6" width="11.85546875" style="255" customWidth="1"/>
    <col min="7" max="7" width="9.140625" style="255" customWidth="1"/>
    <col min="8" max="8" width="9.140625" style="153" customWidth="1"/>
    <col min="9" max="11" width="2.85546875" style="153" customWidth="1"/>
    <col min="12" max="12" width="17.5703125" style="153" customWidth="1"/>
    <col min="13" max="13" width="16.5703125" style="153" customWidth="1"/>
    <col min="14" max="16" width="11.140625" style="153" customWidth="1"/>
    <col min="17" max="17" width="13.42578125" style="153" customWidth="1"/>
    <col min="18" max="18" width="3.5703125" style="153" customWidth="1"/>
    <col min="19" max="19" width="2.42578125" style="153" customWidth="1"/>
    <col min="20" max="20" width="9.140625" style="153" customWidth="1"/>
    <col min="21" max="22" width="9.140625" style="153" hidden="1" customWidth="1"/>
    <col min="23" max="25" width="0" style="153" hidden="1" customWidth="1"/>
    <col min="26" max="27" width="9.140625" style="153" hidden="1" customWidth="1"/>
    <col min="28" max="30" width="0" style="153" hidden="1" customWidth="1"/>
    <col min="31" max="32" width="9.140625" style="153" hidden="1" customWidth="1"/>
    <col min="33" max="33" width="0" style="153" hidden="1" customWidth="1"/>
    <col min="34" max="16384" width="9.140625" style="153" hidden="1"/>
  </cols>
  <sheetData>
    <row r="1" spans="1:21" s="152" customFormat="1" ht="23.25" customHeight="1" x14ac:dyDescent="0.25">
      <c r="A1" s="224" t="s">
        <v>4</v>
      </c>
      <c r="B1" s="79"/>
      <c r="C1" s="79"/>
      <c r="D1" s="79"/>
      <c r="E1" s="79"/>
      <c r="F1" s="238"/>
      <c r="G1" s="238"/>
      <c r="H1" s="79"/>
      <c r="I1" s="79"/>
      <c r="J1" s="79"/>
      <c r="K1" s="79"/>
      <c r="L1" s="79"/>
      <c r="M1" s="79"/>
      <c r="N1" s="79"/>
      <c r="O1" s="79"/>
      <c r="P1" s="79"/>
      <c r="Q1" s="79"/>
      <c r="R1" s="79"/>
      <c r="S1" s="79"/>
      <c r="T1" s="346" t="s">
        <v>170</v>
      </c>
      <c r="U1" s="347"/>
    </row>
    <row r="2" spans="1:21" ht="15.75" thickBot="1" x14ac:dyDescent="0.3">
      <c r="A2" s="51"/>
      <c r="B2" s="51"/>
      <c r="C2" s="51"/>
      <c r="D2" s="51"/>
      <c r="E2" s="51"/>
      <c r="F2" s="239"/>
      <c r="G2" s="239"/>
      <c r="H2" s="51"/>
      <c r="I2" s="51"/>
      <c r="J2" s="51"/>
      <c r="K2" s="51"/>
      <c r="L2" s="51"/>
      <c r="M2" s="51"/>
      <c r="N2" s="51"/>
      <c r="O2" s="51"/>
      <c r="P2" s="51"/>
      <c r="Q2" s="51"/>
      <c r="R2" s="51"/>
      <c r="S2" s="51"/>
      <c r="T2" s="51"/>
    </row>
    <row r="3" spans="1:21" ht="22.5" customHeight="1" x14ac:dyDescent="0.25">
      <c r="A3" s="51"/>
      <c r="B3" s="154" t="s">
        <v>116</v>
      </c>
      <c r="C3" s="155"/>
      <c r="D3" s="156"/>
      <c r="E3" s="156"/>
      <c r="F3" s="156"/>
      <c r="G3" s="156"/>
      <c r="H3" s="156"/>
      <c r="I3" s="157"/>
      <c r="J3" s="301"/>
      <c r="K3" s="310"/>
      <c r="L3" s="156"/>
      <c r="M3" s="156"/>
      <c r="N3" s="156"/>
      <c r="O3" s="156"/>
      <c r="P3" s="156"/>
      <c r="Q3" s="156"/>
      <c r="R3" s="156"/>
      <c r="S3" s="157"/>
      <c r="T3" s="51"/>
    </row>
    <row r="4" spans="1:21" ht="12.75" customHeight="1" x14ac:dyDescent="0.25">
      <c r="A4" s="51"/>
      <c r="B4" s="158"/>
      <c r="C4" s="159"/>
      <c r="D4" s="160"/>
      <c r="E4" s="161" t="s">
        <v>185</v>
      </c>
      <c r="F4" s="240">
        <v>1000</v>
      </c>
      <c r="G4" s="252" t="s">
        <v>128</v>
      </c>
      <c r="H4" s="159"/>
      <c r="I4" s="163"/>
      <c r="J4" s="302"/>
      <c r="K4" s="311"/>
      <c r="L4" s="176"/>
      <c r="M4" s="176"/>
      <c r="N4" s="176"/>
      <c r="O4" s="176"/>
      <c r="P4" s="176"/>
      <c r="Q4" s="176"/>
      <c r="R4" s="176"/>
      <c r="S4" s="163"/>
      <c r="T4" s="51"/>
    </row>
    <row r="5" spans="1:21" ht="12.75" customHeight="1" x14ac:dyDescent="0.25">
      <c r="A5" s="51"/>
      <c r="B5" s="158"/>
      <c r="C5" s="159"/>
      <c r="D5" s="160"/>
      <c r="E5" s="161"/>
      <c r="F5" s="66"/>
      <c r="G5" s="252"/>
      <c r="H5" s="159"/>
      <c r="I5" s="163"/>
      <c r="J5" s="302"/>
      <c r="K5" s="311"/>
      <c r="L5" s="176"/>
      <c r="M5" s="176"/>
      <c r="N5" s="176"/>
      <c r="O5" s="176"/>
      <c r="P5" s="176"/>
      <c r="Q5" s="176"/>
      <c r="R5" s="176"/>
      <c r="S5" s="163"/>
      <c r="T5" s="51"/>
    </row>
    <row r="6" spans="1:21" ht="12.75" customHeight="1" x14ac:dyDescent="0.25">
      <c r="A6" s="51"/>
      <c r="B6" s="158"/>
      <c r="C6" s="159"/>
      <c r="D6" s="164"/>
      <c r="E6" s="161" t="s">
        <v>188</v>
      </c>
      <c r="F6" s="241">
        <v>280</v>
      </c>
      <c r="G6" s="252" t="s">
        <v>91</v>
      </c>
      <c r="H6" s="159"/>
      <c r="I6" s="163"/>
      <c r="J6" s="302"/>
      <c r="K6" s="311"/>
      <c r="L6" s="176"/>
      <c r="M6" s="176"/>
      <c r="N6" s="176"/>
      <c r="O6" s="176"/>
      <c r="P6" s="176"/>
      <c r="Q6" s="176"/>
      <c r="R6" s="176"/>
      <c r="S6" s="163"/>
      <c r="T6" s="51"/>
    </row>
    <row r="7" spans="1:21" ht="12.75" customHeight="1" x14ac:dyDescent="0.25">
      <c r="A7" s="51"/>
      <c r="B7" s="158"/>
      <c r="C7" s="159"/>
      <c r="D7" s="164"/>
      <c r="E7" s="161"/>
      <c r="F7" s="66"/>
      <c r="G7" s="252"/>
      <c r="H7" s="159"/>
      <c r="I7" s="163"/>
      <c r="J7" s="302"/>
      <c r="K7" s="311"/>
      <c r="L7" s="176"/>
      <c r="M7" s="176"/>
      <c r="N7" s="176"/>
      <c r="O7" s="176"/>
      <c r="P7" s="176"/>
      <c r="Q7" s="176"/>
      <c r="R7" s="176"/>
      <c r="S7" s="163"/>
      <c r="T7" s="51"/>
    </row>
    <row r="8" spans="1:21" ht="12.75" customHeight="1" x14ac:dyDescent="0.35">
      <c r="A8" s="51"/>
      <c r="B8" s="158"/>
      <c r="C8" s="159"/>
      <c r="D8" s="164"/>
      <c r="E8" s="161" t="s">
        <v>195</v>
      </c>
      <c r="F8" s="240">
        <v>25</v>
      </c>
      <c r="G8" s="252" t="s">
        <v>126</v>
      </c>
      <c r="H8" s="159"/>
      <c r="I8" s="163"/>
      <c r="J8" s="302"/>
      <c r="K8" s="311"/>
      <c r="L8" s="176"/>
      <c r="M8" s="176"/>
      <c r="N8" s="176"/>
      <c r="O8" s="176"/>
      <c r="P8" s="176"/>
      <c r="Q8" s="176"/>
      <c r="R8" s="176"/>
      <c r="S8" s="163"/>
      <c r="T8" s="51"/>
    </row>
    <row r="9" spans="1:21" ht="12.75" customHeight="1" x14ac:dyDescent="0.25">
      <c r="A9" s="51"/>
      <c r="B9" s="158"/>
      <c r="C9" s="159"/>
      <c r="D9" s="164"/>
      <c r="E9" s="161"/>
      <c r="F9" s="66"/>
      <c r="G9" s="252"/>
      <c r="H9" s="159"/>
      <c r="I9" s="163"/>
      <c r="J9" s="302"/>
      <c r="K9" s="311"/>
      <c r="L9" s="176"/>
      <c r="M9" s="176"/>
      <c r="N9" s="176"/>
      <c r="O9" s="176"/>
      <c r="P9" s="176"/>
      <c r="Q9" s="176"/>
      <c r="R9" s="176"/>
      <c r="S9" s="163"/>
      <c r="T9" s="51"/>
    </row>
    <row r="10" spans="1:21" ht="12.75" customHeight="1" x14ac:dyDescent="0.25">
      <c r="A10" s="51"/>
      <c r="B10" s="158"/>
      <c r="C10" s="159"/>
      <c r="D10" s="164"/>
      <c r="E10" s="161" t="s">
        <v>186</v>
      </c>
      <c r="F10" s="240">
        <v>100</v>
      </c>
      <c r="G10" s="252" t="s">
        <v>127</v>
      </c>
      <c r="H10" s="159"/>
      <c r="I10" s="163"/>
      <c r="J10" s="302"/>
      <c r="K10" s="311"/>
      <c r="L10" s="176"/>
      <c r="M10" s="176"/>
      <c r="N10" s="176"/>
      <c r="O10" s="176"/>
      <c r="P10" s="176"/>
      <c r="Q10" s="176"/>
      <c r="R10" s="176"/>
      <c r="S10" s="163"/>
      <c r="T10" s="51"/>
    </row>
    <row r="11" spans="1:21" ht="12.75" customHeight="1" x14ac:dyDescent="0.25">
      <c r="A11" s="51"/>
      <c r="B11" s="158"/>
      <c r="C11" s="159"/>
      <c r="D11" s="164"/>
      <c r="E11" s="161"/>
      <c r="F11" s="66"/>
      <c r="G11" s="252"/>
      <c r="H11" s="159"/>
      <c r="I11" s="163"/>
      <c r="J11" s="302"/>
      <c r="K11" s="311"/>
      <c r="L11" s="176"/>
      <c r="M11" s="176"/>
      <c r="N11" s="176"/>
      <c r="O11" s="176"/>
      <c r="P11" s="176"/>
      <c r="Q11" s="176"/>
      <c r="R11" s="176"/>
      <c r="S11" s="163"/>
      <c r="T11" s="51"/>
    </row>
    <row r="12" spans="1:21" ht="12.75" customHeight="1" x14ac:dyDescent="0.25">
      <c r="A12" s="51"/>
      <c r="B12" s="158"/>
      <c r="C12" s="159"/>
      <c r="D12" s="164"/>
      <c r="E12" s="161" t="s">
        <v>123</v>
      </c>
      <c r="F12" s="240">
        <v>50</v>
      </c>
      <c r="G12" s="252" t="s">
        <v>128</v>
      </c>
      <c r="H12" s="159"/>
      <c r="I12" s="163"/>
      <c r="J12" s="302"/>
      <c r="K12" s="311"/>
      <c r="L12" s="176"/>
      <c r="M12" s="176"/>
      <c r="N12" s="176"/>
      <c r="O12" s="176"/>
      <c r="P12" s="176"/>
      <c r="Q12" s="176"/>
      <c r="R12" s="176"/>
      <c r="S12" s="163"/>
      <c r="T12" s="51"/>
    </row>
    <row r="13" spans="1:21" ht="12.75" customHeight="1" thickBot="1" x14ac:dyDescent="0.3">
      <c r="A13" s="51"/>
      <c r="B13" s="165"/>
      <c r="C13" s="166"/>
      <c r="D13" s="166"/>
      <c r="E13" s="166"/>
      <c r="F13" s="242"/>
      <c r="G13" s="242"/>
      <c r="H13" s="166"/>
      <c r="I13" s="167"/>
      <c r="J13" s="302"/>
      <c r="K13" s="311"/>
      <c r="L13" s="176"/>
      <c r="M13" s="176"/>
      <c r="N13" s="176"/>
      <c r="O13" s="176"/>
      <c r="P13" s="176"/>
      <c r="Q13" s="176"/>
      <c r="R13" s="176"/>
      <c r="S13" s="163"/>
      <c r="T13" s="51"/>
    </row>
    <row r="14" spans="1:21" ht="12.75" customHeight="1" thickBot="1" x14ac:dyDescent="0.3">
      <c r="A14" s="51"/>
      <c r="B14" s="51"/>
      <c r="C14" s="51"/>
      <c r="D14" s="51"/>
      <c r="E14" s="51"/>
      <c r="F14" s="239"/>
      <c r="G14" s="239"/>
      <c r="H14" s="51"/>
      <c r="I14" s="51"/>
      <c r="J14" s="51"/>
      <c r="K14" s="311"/>
      <c r="L14" s="49"/>
      <c r="M14" s="49"/>
      <c r="N14" s="49"/>
      <c r="O14" s="49"/>
      <c r="P14" s="49"/>
      <c r="Q14" s="49"/>
      <c r="R14" s="49"/>
      <c r="S14" s="53"/>
      <c r="T14" s="51"/>
    </row>
    <row r="15" spans="1:21" ht="22.5" customHeight="1" x14ac:dyDescent="0.25">
      <c r="A15" s="51"/>
      <c r="B15" s="154" t="s">
        <v>133</v>
      </c>
      <c r="C15" s="156"/>
      <c r="D15" s="156"/>
      <c r="E15" s="156"/>
      <c r="F15" s="156"/>
      <c r="G15" s="156"/>
      <c r="H15" s="156"/>
      <c r="I15" s="157"/>
      <c r="J15" s="301"/>
      <c r="K15" s="311"/>
      <c r="L15" s="226"/>
      <c r="M15" s="226"/>
      <c r="N15" s="226"/>
      <c r="O15" s="226"/>
      <c r="P15" s="226"/>
      <c r="Q15" s="226"/>
      <c r="R15" s="226"/>
      <c r="S15" s="227"/>
      <c r="T15" s="51"/>
    </row>
    <row r="16" spans="1:21" ht="12.75" customHeight="1" x14ac:dyDescent="0.25">
      <c r="A16" s="51"/>
      <c r="B16" s="158"/>
      <c r="C16" s="159"/>
      <c r="D16" s="164"/>
      <c r="E16" s="168" t="s">
        <v>212</v>
      </c>
      <c r="F16" s="236">
        <f>VLOOKUP($F$6,Poly,1,FALSE)</f>
        <v>280</v>
      </c>
      <c r="G16" s="252" t="s">
        <v>91</v>
      </c>
      <c r="H16" s="159"/>
      <c r="I16" s="163"/>
      <c r="J16" s="302"/>
      <c r="K16" s="311"/>
      <c r="L16" s="176"/>
      <c r="M16" s="176"/>
      <c r="N16" s="176"/>
      <c r="O16" s="176"/>
      <c r="P16" s="176"/>
      <c r="Q16" s="176"/>
      <c r="R16" s="176"/>
      <c r="S16" s="163"/>
      <c r="T16" s="51"/>
    </row>
    <row r="17" spans="1:20" ht="12.75" customHeight="1" x14ac:dyDescent="0.25">
      <c r="A17" s="51"/>
      <c r="B17" s="158"/>
      <c r="C17" s="159"/>
      <c r="D17" s="164"/>
      <c r="E17" s="170"/>
      <c r="F17" s="243"/>
      <c r="G17" s="252"/>
      <c r="H17" s="159"/>
      <c r="I17" s="163"/>
      <c r="J17" s="302"/>
      <c r="K17" s="311"/>
      <c r="L17" s="176"/>
      <c r="M17" s="176"/>
      <c r="N17" s="176"/>
      <c r="O17" s="176"/>
      <c r="P17" s="176"/>
      <c r="Q17" s="176"/>
      <c r="R17" s="176"/>
      <c r="S17" s="163"/>
      <c r="T17" s="51"/>
    </row>
    <row r="18" spans="1:20" ht="15" customHeight="1" x14ac:dyDescent="0.25">
      <c r="A18" s="51"/>
      <c r="B18" s="158"/>
      <c r="C18" s="159"/>
      <c r="D18" s="164"/>
      <c r="E18" s="168" t="s">
        <v>171</v>
      </c>
      <c r="F18" s="244">
        <v>11</v>
      </c>
      <c r="G18" s="252"/>
      <c r="H18" s="159"/>
      <c r="I18" s="172"/>
      <c r="J18" s="303"/>
      <c r="K18" s="311"/>
      <c r="L18" s="179"/>
      <c r="M18" s="179"/>
      <c r="N18" s="179"/>
      <c r="O18" s="179"/>
      <c r="P18" s="179"/>
      <c r="Q18" s="179"/>
      <c r="R18" s="179"/>
      <c r="S18" s="172"/>
      <c r="T18" s="51"/>
    </row>
    <row r="19" spans="1:20" ht="15" customHeight="1" x14ac:dyDescent="0.25">
      <c r="A19" s="51"/>
      <c r="B19" s="158"/>
      <c r="C19" s="159"/>
      <c r="D19" s="164"/>
      <c r="E19" s="170"/>
      <c r="F19" s="243"/>
      <c r="G19" s="252"/>
      <c r="H19" s="159"/>
      <c r="I19" s="172"/>
      <c r="J19" s="303"/>
      <c r="K19" s="311"/>
      <c r="L19" s="179"/>
      <c r="M19" s="179"/>
      <c r="N19" s="179"/>
      <c r="O19" s="179"/>
      <c r="P19" s="179"/>
      <c r="Q19" s="179"/>
      <c r="R19" s="179"/>
      <c r="S19" s="172"/>
      <c r="T19" s="51"/>
    </row>
    <row r="20" spans="1:20" ht="15" customHeight="1" x14ac:dyDescent="0.25">
      <c r="A20" s="51"/>
      <c r="B20" s="158"/>
      <c r="C20" s="159"/>
      <c r="D20" s="164"/>
      <c r="E20" s="168" t="s">
        <v>184</v>
      </c>
      <c r="F20" s="244">
        <v>0.4</v>
      </c>
      <c r="G20" s="252"/>
      <c r="H20" s="159"/>
      <c r="I20" s="172"/>
      <c r="J20" s="303"/>
      <c r="K20" s="311"/>
      <c r="L20" s="179"/>
      <c r="M20" s="179"/>
      <c r="N20" s="179"/>
      <c r="O20" s="179"/>
      <c r="P20" s="179"/>
      <c r="Q20" s="179"/>
      <c r="R20" s="179"/>
      <c r="S20" s="172"/>
      <c r="T20" s="51"/>
    </row>
    <row r="21" spans="1:20" ht="15" customHeight="1" x14ac:dyDescent="0.25">
      <c r="A21" s="51"/>
      <c r="B21" s="158"/>
      <c r="C21" s="159"/>
      <c r="D21" s="164"/>
      <c r="E21" s="170"/>
      <c r="F21" s="243"/>
      <c r="G21" s="252"/>
      <c r="H21" s="159"/>
      <c r="I21" s="172"/>
      <c r="J21" s="303"/>
      <c r="K21" s="311"/>
      <c r="L21" s="179"/>
      <c r="M21" s="179"/>
      <c r="N21" s="179"/>
      <c r="O21" s="179"/>
      <c r="P21" s="179"/>
      <c r="Q21" s="179"/>
      <c r="R21" s="179"/>
      <c r="S21" s="172"/>
      <c r="T21" s="51"/>
    </row>
    <row r="22" spans="1:20" ht="15" customHeight="1" x14ac:dyDescent="0.35">
      <c r="A22" s="51"/>
      <c r="B22" s="158"/>
      <c r="C22" s="159"/>
      <c r="D22" s="164"/>
      <c r="E22" s="168" t="s">
        <v>196</v>
      </c>
      <c r="F22" s="244">
        <v>16</v>
      </c>
      <c r="G22" s="252" t="s">
        <v>126</v>
      </c>
      <c r="H22" s="159"/>
      <c r="I22" s="172"/>
      <c r="J22" s="303"/>
      <c r="K22" s="311"/>
      <c r="L22" s="179"/>
      <c r="M22" s="179"/>
      <c r="N22" s="179"/>
      <c r="O22" s="179"/>
      <c r="P22" s="179"/>
      <c r="Q22" s="179"/>
      <c r="R22" s="179"/>
      <c r="S22" s="172"/>
      <c r="T22" s="51"/>
    </row>
    <row r="23" spans="1:20" ht="15" customHeight="1" x14ac:dyDescent="0.25">
      <c r="A23" s="51"/>
      <c r="B23" s="158"/>
      <c r="C23" s="159"/>
      <c r="D23" s="164"/>
      <c r="E23" s="170"/>
      <c r="F23" s="243"/>
      <c r="G23" s="252"/>
      <c r="H23" s="159"/>
      <c r="I23" s="172"/>
      <c r="J23" s="303"/>
      <c r="K23" s="311"/>
      <c r="L23" s="179"/>
      <c r="M23" s="179"/>
      <c r="N23" s="179"/>
      <c r="O23" s="179"/>
      <c r="P23" s="179"/>
      <c r="Q23" s="179"/>
      <c r="R23" s="179"/>
      <c r="S23" s="172"/>
      <c r="T23" s="51"/>
    </row>
    <row r="24" spans="1:20" ht="15" customHeight="1" x14ac:dyDescent="0.25">
      <c r="A24" s="51"/>
      <c r="B24" s="158"/>
      <c r="C24" s="159"/>
      <c r="D24" s="164"/>
      <c r="E24" s="168" t="s">
        <v>187</v>
      </c>
      <c r="F24" s="244">
        <v>1.8000000000000001E-4</v>
      </c>
      <c r="G24" s="252" t="s">
        <v>129</v>
      </c>
      <c r="H24" s="159"/>
      <c r="I24" s="172"/>
      <c r="J24" s="303"/>
      <c r="K24" s="311"/>
      <c r="L24" s="179"/>
      <c r="M24" s="179"/>
      <c r="N24" s="179"/>
      <c r="O24" s="179"/>
      <c r="P24" s="179"/>
      <c r="Q24" s="179"/>
      <c r="R24" s="179"/>
      <c r="S24" s="172"/>
      <c r="T24" s="51"/>
    </row>
    <row r="25" spans="1:20" ht="15" customHeight="1" x14ac:dyDescent="0.25">
      <c r="A25" s="51"/>
      <c r="B25" s="158"/>
      <c r="C25" s="159"/>
      <c r="D25" s="164"/>
      <c r="E25" s="170"/>
      <c r="F25" s="243"/>
      <c r="G25" s="252"/>
      <c r="H25" s="159"/>
      <c r="I25" s="172"/>
      <c r="J25" s="303"/>
      <c r="K25" s="311"/>
      <c r="L25" s="179"/>
      <c r="M25" s="179"/>
      <c r="N25" s="179"/>
      <c r="O25" s="179"/>
      <c r="P25" s="179"/>
      <c r="Q25" s="179"/>
      <c r="R25" s="179"/>
      <c r="S25" s="172"/>
      <c r="T25" s="51"/>
    </row>
    <row r="26" spans="1:20" ht="15" customHeight="1" x14ac:dyDescent="0.25">
      <c r="A26" s="51"/>
      <c r="B26" s="158"/>
      <c r="C26" s="159"/>
      <c r="D26" s="164"/>
      <c r="E26" s="168" t="s">
        <v>189</v>
      </c>
      <c r="F26" s="244">
        <v>900000</v>
      </c>
      <c r="G26" s="252" t="s">
        <v>105</v>
      </c>
      <c r="H26" s="159"/>
      <c r="I26" s="172"/>
      <c r="J26" s="303"/>
      <c r="K26" s="311"/>
      <c r="L26" s="179"/>
      <c r="M26" s="179"/>
      <c r="N26" s="179"/>
      <c r="O26" s="179"/>
      <c r="P26" s="179"/>
      <c r="Q26" s="179"/>
      <c r="R26" s="179"/>
      <c r="S26" s="172"/>
      <c r="T26" s="51"/>
    </row>
    <row r="27" spans="1:20" ht="15" customHeight="1" x14ac:dyDescent="0.25">
      <c r="A27" s="51"/>
      <c r="B27" s="158"/>
      <c r="C27" s="159"/>
      <c r="D27" s="164"/>
      <c r="E27" s="170"/>
      <c r="F27" s="243"/>
      <c r="G27" s="252"/>
      <c r="H27" s="159"/>
      <c r="I27" s="172"/>
      <c r="J27" s="303"/>
      <c r="K27" s="311"/>
      <c r="L27" s="179"/>
      <c r="M27" s="179"/>
      <c r="N27" s="179"/>
      <c r="O27" s="179"/>
      <c r="P27" s="179"/>
      <c r="Q27" s="179"/>
      <c r="R27" s="179"/>
      <c r="S27" s="172"/>
      <c r="T27" s="51"/>
    </row>
    <row r="28" spans="1:20" ht="15" customHeight="1" x14ac:dyDescent="0.25">
      <c r="A28" s="51"/>
      <c r="B28" s="158"/>
      <c r="C28" s="159"/>
      <c r="D28" s="164"/>
      <c r="E28" s="168" t="s">
        <v>124</v>
      </c>
      <c r="F28" s="244">
        <v>1.5</v>
      </c>
      <c r="G28" s="252"/>
      <c r="H28" s="159"/>
      <c r="I28" s="172"/>
      <c r="J28" s="303"/>
      <c r="K28" s="311"/>
      <c r="L28" s="179"/>
      <c r="M28" s="179"/>
      <c r="N28" s="179"/>
      <c r="O28" s="179"/>
      <c r="P28" s="179"/>
      <c r="Q28" s="179"/>
      <c r="R28" s="179"/>
      <c r="S28" s="172"/>
      <c r="T28" s="51"/>
    </row>
    <row r="29" spans="1:20" ht="12.75" customHeight="1" thickBot="1" x14ac:dyDescent="0.3">
      <c r="A29" s="51"/>
      <c r="B29" s="165"/>
      <c r="C29" s="166"/>
      <c r="D29" s="166"/>
      <c r="E29" s="166"/>
      <c r="F29" s="245"/>
      <c r="G29" s="242"/>
      <c r="H29" s="166"/>
      <c r="I29" s="167"/>
      <c r="J29" s="302"/>
      <c r="K29" s="312"/>
      <c r="L29" s="185"/>
      <c r="M29" s="185"/>
      <c r="N29" s="185"/>
      <c r="O29" s="185"/>
      <c r="P29" s="185"/>
      <c r="Q29" s="185"/>
      <c r="R29" s="185"/>
      <c r="S29" s="167"/>
      <c r="T29" s="51"/>
    </row>
    <row r="30" spans="1:20" ht="12.75" customHeight="1" thickBot="1" x14ac:dyDescent="0.3">
      <c r="A30" s="51"/>
      <c r="B30" s="51"/>
      <c r="C30" s="51"/>
      <c r="D30" s="51"/>
      <c r="E30" s="51"/>
      <c r="F30" s="239"/>
      <c r="G30" s="239"/>
      <c r="H30" s="51"/>
      <c r="I30" s="51"/>
      <c r="J30" s="51"/>
      <c r="K30" s="51"/>
      <c r="L30" s="51"/>
      <c r="M30" s="51"/>
      <c r="N30" s="51"/>
      <c r="O30" s="51"/>
      <c r="P30" s="51"/>
      <c r="Q30" s="51"/>
      <c r="R30" s="51"/>
      <c r="S30" s="51"/>
      <c r="T30" s="51"/>
    </row>
    <row r="31" spans="1:20" ht="22.5" customHeight="1" x14ac:dyDescent="0.25">
      <c r="A31" s="51"/>
      <c r="B31" s="154" t="s">
        <v>172</v>
      </c>
      <c r="C31" s="156"/>
      <c r="D31" s="156"/>
      <c r="E31" s="156"/>
      <c r="F31" s="156"/>
      <c r="G31" s="156"/>
      <c r="H31" s="156"/>
      <c r="I31" s="157"/>
      <c r="J31" s="301"/>
      <c r="K31" s="316"/>
      <c r="L31" s="317" t="s">
        <v>131</v>
      </c>
      <c r="M31" s="156"/>
      <c r="N31" s="156"/>
      <c r="O31" s="156"/>
      <c r="P31" s="156"/>
      <c r="Q31" s="156"/>
      <c r="R31" s="156"/>
      <c r="S31" s="157"/>
      <c r="T31" s="51"/>
    </row>
    <row r="32" spans="1:20" ht="12.75" customHeight="1" x14ac:dyDescent="0.25">
      <c r="A32" s="51"/>
      <c r="B32" s="158"/>
      <c r="C32" s="159"/>
      <c r="D32" s="159"/>
      <c r="E32" s="161" t="s">
        <v>107</v>
      </c>
      <c r="F32" s="246">
        <f>F4*PI()*(F16/1000)^2/4</f>
        <v>61.575216010359952</v>
      </c>
      <c r="G32" s="252" t="s">
        <v>176</v>
      </c>
      <c r="H32" s="159"/>
      <c r="I32" s="163"/>
      <c r="J32" s="302"/>
      <c r="K32" s="318"/>
      <c r="L32" s="176"/>
      <c r="M32" s="168" t="s">
        <v>208</v>
      </c>
      <c r="N32" s="315">
        <f>F47+F40</f>
        <v>-206.44444444444446</v>
      </c>
      <c r="O32" s="173" t="s">
        <v>130</v>
      </c>
      <c r="P32" s="252" t="s">
        <v>210</v>
      </c>
      <c r="Q32" s="252"/>
      <c r="R32" s="159"/>
      <c r="S32" s="163"/>
      <c r="T32" s="51"/>
    </row>
    <row r="33" spans="1:20" ht="12" customHeight="1" x14ac:dyDescent="0.25">
      <c r="A33" s="51"/>
      <c r="B33" s="225" t="s">
        <v>216</v>
      </c>
      <c r="C33" s="226"/>
      <c r="D33" s="226"/>
      <c r="E33" s="226"/>
      <c r="F33" s="226"/>
      <c r="G33" s="226"/>
      <c r="H33" s="226"/>
      <c r="I33" s="227"/>
      <c r="J33" s="301"/>
      <c r="K33" s="318"/>
      <c r="L33" s="314" t="s">
        <v>211</v>
      </c>
      <c r="M33" s="173"/>
      <c r="N33" s="68"/>
      <c r="O33" s="168"/>
      <c r="P33" s="252"/>
      <c r="Q33" s="252"/>
      <c r="R33" s="160"/>
      <c r="S33" s="163"/>
      <c r="T33" s="51"/>
    </row>
    <row r="34" spans="1:20" ht="14.25" customHeight="1" x14ac:dyDescent="0.25">
      <c r="A34" s="51"/>
      <c r="B34" s="158"/>
      <c r="C34" s="159"/>
      <c r="D34" s="159"/>
      <c r="E34" s="161" t="s">
        <v>194</v>
      </c>
      <c r="F34" s="247">
        <f>1/(F18)-1/((F18)^2)</f>
        <v>8.2644628099173556E-2</v>
      </c>
      <c r="G34" s="252"/>
      <c r="H34" s="159"/>
      <c r="I34" s="163"/>
      <c r="J34" s="302"/>
      <c r="K34" s="318"/>
      <c r="L34" s="176"/>
      <c r="M34" s="323" t="s">
        <v>222</v>
      </c>
      <c r="N34" s="325">
        <f>F28*(F32)/F12</f>
        <v>1.8472564803107985</v>
      </c>
      <c r="O34" s="173" t="s">
        <v>144</v>
      </c>
      <c r="P34" s="252"/>
      <c r="Q34" s="252"/>
      <c r="R34" s="160"/>
      <c r="S34" s="163"/>
      <c r="T34" s="51"/>
    </row>
    <row r="35" spans="1:20" ht="12.75" customHeight="1" x14ac:dyDescent="0.25">
      <c r="A35" s="51"/>
      <c r="B35" s="158"/>
      <c r="C35" s="159"/>
      <c r="D35" s="159"/>
      <c r="E35" s="161"/>
      <c r="F35" s="248"/>
      <c r="G35" s="252"/>
      <c r="H35" s="159"/>
      <c r="I35" s="163"/>
      <c r="J35" s="302"/>
      <c r="K35" s="318"/>
      <c r="L35" s="176"/>
      <c r="M35" s="324"/>
      <c r="N35" s="176"/>
      <c r="O35" s="176"/>
      <c r="Q35" s="252"/>
      <c r="R35" s="160"/>
      <c r="S35" s="163"/>
      <c r="T35" s="51"/>
    </row>
    <row r="36" spans="1:20" ht="12.75" customHeight="1" x14ac:dyDescent="0.25">
      <c r="A36" s="51"/>
      <c r="B36" s="158"/>
      <c r="C36" s="159"/>
      <c r="D36" s="159"/>
      <c r="E36" s="161" t="s">
        <v>174</v>
      </c>
      <c r="F36" s="229">
        <f>(F4*(F18-1))/2</f>
        <v>5000</v>
      </c>
      <c r="G36" s="69"/>
      <c r="H36" s="159"/>
      <c r="I36" s="163"/>
      <c r="J36" s="302"/>
      <c r="K36" s="318"/>
      <c r="L36" s="176"/>
      <c r="M36" s="161" t="s">
        <v>223</v>
      </c>
      <c r="N36" s="325">
        <f>F28*(F42)/F12</f>
        <v>1.2207074380165293</v>
      </c>
      <c r="O36" s="173" t="s">
        <v>144</v>
      </c>
      <c r="P36" s="252"/>
      <c r="Q36" s="252"/>
      <c r="R36" s="160"/>
      <c r="S36" s="163"/>
      <c r="T36" s="51"/>
    </row>
    <row r="37" spans="1:20" ht="12.75" customHeight="1" x14ac:dyDescent="0.25">
      <c r="A37" s="51"/>
      <c r="B37" s="158"/>
      <c r="C37" s="159"/>
      <c r="D37" s="159"/>
      <c r="E37" s="161"/>
      <c r="F37" s="249"/>
      <c r="G37" s="252"/>
      <c r="H37" s="159"/>
      <c r="I37" s="163"/>
      <c r="J37" s="302"/>
      <c r="K37" s="318"/>
      <c r="L37" s="176"/>
      <c r="M37" s="168"/>
      <c r="N37" s="327"/>
      <c r="O37" s="173"/>
      <c r="P37" s="320"/>
      <c r="Q37" s="321"/>
      <c r="R37" s="321"/>
      <c r="S37" s="163"/>
      <c r="T37" s="51"/>
    </row>
    <row r="38" spans="1:20" ht="15" customHeight="1" x14ac:dyDescent="0.4">
      <c r="A38" s="51"/>
      <c r="B38" s="158"/>
      <c r="C38" s="170"/>
      <c r="D38" s="170"/>
      <c r="E38" s="168" t="s">
        <v>191</v>
      </c>
      <c r="F38" s="229">
        <f>F20*3.14*F6^2</f>
        <v>98470.400000000023</v>
      </c>
      <c r="G38" s="252"/>
      <c r="H38" s="159"/>
      <c r="I38" s="163"/>
      <c r="J38" s="302"/>
      <c r="K38" s="318"/>
      <c r="M38" s="161" t="s">
        <v>224</v>
      </c>
      <c r="N38" s="325">
        <f>F28*(F49)/F12</f>
        <v>0.90747718665958788</v>
      </c>
      <c r="O38" s="173" t="s">
        <v>144</v>
      </c>
      <c r="P38" s="321"/>
      <c r="Q38" s="321"/>
      <c r="R38" s="321"/>
      <c r="S38" s="163"/>
      <c r="T38" s="51"/>
    </row>
    <row r="39" spans="1:20" ht="12.75" customHeight="1" x14ac:dyDescent="0.25">
      <c r="A39" s="51"/>
      <c r="B39" s="158"/>
      <c r="C39" s="170"/>
      <c r="D39" s="170"/>
      <c r="E39" s="168"/>
      <c r="F39" s="230"/>
      <c r="G39" s="252"/>
      <c r="H39" s="159"/>
      <c r="I39" s="163"/>
      <c r="J39" s="302"/>
      <c r="K39" s="318"/>
      <c r="L39" s="324"/>
      <c r="M39" s="168"/>
      <c r="N39" s="305"/>
      <c r="O39" s="173"/>
      <c r="P39" s="321"/>
      <c r="Q39" s="321"/>
      <c r="R39" s="321"/>
      <c r="S39" s="163"/>
      <c r="T39" s="51"/>
    </row>
    <row r="40" spans="1:20" ht="12.75" customHeight="1" x14ac:dyDescent="0.25">
      <c r="A40" s="51"/>
      <c r="B40" s="158"/>
      <c r="C40" s="170"/>
      <c r="E40" s="304" t="s">
        <v>190</v>
      </c>
      <c r="F40" s="237">
        <f>-(F10*F20*F4)/(F26/1000)</f>
        <v>-44.444444444444443</v>
      </c>
      <c r="G40" s="252" t="s">
        <v>91</v>
      </c>
      <c r="H40" s="159"/>
      <c r="I40" s="163"/>
      <c r="J40" s="302"/>
      <c r="K40" s="318"/>
      <c r="M40" s="328" t="s">
        <v>217</v>
      </c>
      <c r="N40" s="326">
        <f>IF(N34&gt;=N36, (N34+N38), (N36+N38))</f>
        <v>2.7547336669703864</v>
      </c>
      <c r="O40" s="173" t="s">
        <v>144</v>
      </c>
      <c r="P40" s="256"/>
      <c r="Q40" s="256"/>
      <c r="R40" s="322"/>
      <c r="S40" s="163"/>
      <c r="T40" s="51"/>
    </row>
    <row r="41" spans="1:20" ht="12.75" customHeight="1" x14ac:dyDescent="0.25">
      <c r="A41" s="51"/>
      <c r="B41" s="231"/>
      <c r="C41" s="232"/>
      <c r="D41" s="232"/>
      <c r="E41" s="233"/>
      <c r="F41" s="230"/>
      <c r="G41" s="256"/>
      <c r="H41" s="234"/>
      <c r="I41" s="235"/>
      <c r="J41" s="302"/>
      <c r="K41" s="318"/>
      <c r="Q41" s="252"/>
      <c r="R41" s="159"/>
      <c r="S41" s="163"/>
      <c r="T41" s="51"/>
    </row>
    <row r="42" spans="1:20" ht="12.75" customHeight="1" x14ac:dyDescent="0.25">
      <c r="A42" s="51"/>
      <c r="B42" s="158"/>
      <c r="C42" s="170"/>
      <c r="D42" s="170"/>
      <c r="E42" s="168" t="s">
        <v>175</v>
      </c>
      <c r="F42" s="246">
        <f>F34*F36*F38/1000000</f>
        <v>40.690247933884308</v>
      </c>
      <c r="G42" s="252" t="s">
        <v>176</v>
      </c>
      <c r="H42" s="159"/>
      <c r="I42" s="163"/>
      <c r="J42" s="302"/>
      <c r="K42" s="318"/>
      <c r="M42" s="328" t="s">
        <v>218</v>
      </c>
      <c r="N42" s="326">
        <f>N36+N38</f>
        <v>2.1281846246761171</v>
      </c>
      <c r="O42" s="173" t="s">
        <v>144</v>
      </c>
      <c r="P42" s="252"/>
      <c r="Q42" s="252"/>
      <c r="R42" s="159"/>
      <c r="S42" s="163"/>
      <c r="T42" s="51"/>
    </row>
    <row r="43" spans="1:20" ht="12.75" customHeight="1" thickBot="1" x14ac:dyDescent="0.35">
      <c r="A43" s="51"/>
      <c r="B43" s="158"/>
      <c r="C43" s="170"/>
      <c r="D43" s="170"/>
      <c r="E43" s="170"/>
      <c r="F43" s="250"/>
      <c r="G43" s="252"/>
      <c r="H43" s="159"/>
      <c r="I43" s="163"/>
      <c r="J43" s="302"/>
      <c r="K43" s="319"/>
      <c r="L43" s="177"/>
      <c r="M43" s="177"/>
      <c r="N43" s="177"/>
      <c r="O43" s="177"/>
      <c r="P43" s="253"/>
      <c r="Q43" s="253"/>
      <c r="R43" s="177"/>
      <c r="S43" s="167"/>
      <c r="T43" s="51"/>
    </row>
    <row r="44" spans="1:20" ht="12.75" customHeight="1" thickBot="1" x14ac:dyDescent="0.3">
      <c r="A44" s="51"/>
      <c r="B44" s="225" t="s">
        <v>173</v>
      </c>
      <c r="C44" s="226"/>
      <c r="D44" s="226"/>
      <c r="E44" s="226"/>
      <c r="F44" s="226"/>
      <c r="G44" s="226"/>
      <c r="H44" s="226"/>
      <c r="I44" s="227"/>
      <c r="J44" s="301"/>
      <c r="K44" s="302"/>
      <c r="L44" s="51"/>
      <c r="M44" s="51"/>
      <c r="N44" s="51"/>
      <c r="O44" s="51"/>
      <c r="P44" s="239"/>
      <c r="Q44" s="239"/>
      <c r="R44" s="51"/>
      <c r="S44" s="51"/>
      <c r="T44" s="51"/>
    </row>
    <row r="45" spans="1:20" ht="12.75" customHeight="1" x14ac:dyDescent="0.25">
      <c r="A45" s="51"/>
      <c r="B45" s="158"/>
      <c r="C45" s="159"/>
      <c r="D45" s="159"/>
      <c r="E45" s="161" t="s">
        <v>125</v>
      </c>
      <c r="F45" s="251">
        <f>((PI()*(F16/2)^2)-(VLOOKUP(F16,POLYIDCSA,3,FALSE)))/1000000</f>
        <v>2.0747077884306991E-2</v>
      </c>
      <c r="G45" s="69" t="s">
        <v>177</v>
      </c>
      <c r="H45" s="159"/>
      <c r="I45" s="163"/>
      <c r="J45" s="302"/>
      <c r="K45" s="316"/>
      <c r="L45" s="317" t="s">
        <v>132</v>
      </c>
      <c r="M45" s="156"/>
      <c r="N45" s="156"/>
      <c r="O45" s="156"/>
      <c r="P45" s="156"/>
      <c r="Q45" s="156"/>
      <c r="R45" s="178"/>
      <c r="S45" s="157"/>
      <c r="T45" s="51"/>
    </row>
    <row r="46" spans="1:20" ht="12.75" customHeight="1" x14ac:dyDescent="0.25">
      <c r="A46" s="51"/>
      <c r="B46" s="158"/>
      <c r="C46" s="159"/>
      <c r="D46" s="159"/>
      <c r="E46" s="161"/>
      <c r="F46" s="243"/>
      <c r="G46" s="252"/>
      <c r="H46" s="159"/>
      <c r="I46" s="163"/>
      <c r="J46" s="302"/>
      <c r="K46" s="318"/>
      <c r="L46" s="306" t="str">
        <f>"Valid for: DN"&amp;F6&amp;"PE; "&amp;F12&amp;" AHBP; "&amp;F4&amp;" kPa Test Pressure"</f>
        <v>Valid for: DN280PE; 50 AHBP; 1000 kPa Test Pressure</v>
      </c>
      <c r="M46" s="179"/>
      <c r="N46" s="176"/>
      <c r="O46" s="176"/>
      <c r="P46" s="254"/>
      <c r="Q46" s="254"/>
      <c r="R46" s="176"/>
      <c r="S46" s="163"/>
      <c r="T46" s="51"/>
    </row>
    <row r="47" spans="1:20" ht="12.75" customHeight="1" x14ac:dyDescent="0.35">
      <c r="A47" s="51"/>
      <c r="B47" s="158"/>
      <c r="C47" s="170"/>
      <c r="D47" s="170"/>
      <c r="E47" s="168" t="s">
        <v>192</v>
      </c>
      <c r="F47" s="237">
        <f>-F10*F24*(F8-F22)*1000</f>
        <v>-162.00000000000003</v>
      </c>
      <c r="G47" s="252" t="s">
        <v>130</v>
      </c>
      <c r="H47" s="159"/>
      <c r="I47" s="163"/>
      <c r="J47" s="302"/>
      <c r="K47" s="318"/>
      <c r="L47" s="306"/>
      <c r="M47" s="179"/>
      <c r="N47" s="176"/>
      <c r="O47" s="176"/>
      <c r="P47" s="254"/>
      <c r="Q47" s="254"/>
      <c r="R47" s="176"/>
      <c r="S47" s="163"/>
      <c r="T47" s="51"/>
    </row>
    <row r="48" spans="1:20" ht="12.75" customHeight="1" x14ac:dyDescent="0.25">
      <c r="A48" s="51"/>
      <c r="B48" s="158"/>
      <c r="C48" s="170"/>
      <c r="D48" s="170"/>
      <c r="E48" s="170"/>
      <c r="F48" s="250"/>
      <c r="G48" s="252"/>
      <c r="H48" s="159"/>
      <c r="I48" s="163"/>
      <c r="J48" s="302"/>
      <c r="K48" s="318"/>
      <c r="L48" s="176"/>
      <c r="M48" s="307"/>
      <c r="N48" s="367" t="s">
        <v>215</v>
      </c>
      <c r="O48" s="368"/>
      <c r="P48" s="368"/>
      <c r="Q48" s="369"/>
      <c r="R48" s="159"/>
      <c r="S48" s="180"/>
      <c r="T48" s="51"/>
    </row>
    <row r="49" spans="1:20" ht="14.25" customHeight="1" x14ac:dyDescent="0.25">
      <c r="A49" s="51"/>
      <c r="B49" s="158"/>
      <c r="C49" s="170"/>
      <c r="D49" s="170"/>
      <c r="E49" s="68" t="s">
        <v>193</v>
      </c>
      <c r="F49" s="246">
        <f>(F8-F22)*F26*F45*F24</f>
        <v>30.249239555319594</v>
      </c>
      <c r="G49" s="252" t="s">
        <v>176</v>
      </c>
      <c r="H49" s="159"/>
      <c r="I49" s="163"/>
      <c r="J49" s="302"/>
      <c r="K49" s="318"/>
      <c r="L49" s="307"/>
      <c r="M49" s="313"/>
      <c r="N49" s="181">
        <v>20</v>
      </c>
      <c r="O49" s="181">
        <v>25</v>
      </c>
      <c r="P49" s="181">
        <v>30</v>
      </c>
      <c r="Q49" s="181">
        <v>35</v>
      </c>
      <c r="R49" s="182"/>
      <c r="S49" s="183"/>
      <c r="T49" s="51"/>
    </row>
    <row r="50" spans="1:20" ht="12.75" customHeight="1" x14ac:dyDescent="0.25">
      <c r="A50" s="51"/>
      <c r="B50" s="158"/>
      <c r="C50" s="170"/>
      <c r="D50" s="170"/>
      <c r="E50" s="168"/>
      <c r="F50" s="250"/>
      <c r="G50" s="252"/>
      <c r="H50" s="159"/>
      <c r="I50" s="163"/>
      <c r="J50" s="302"/>
      <c r="K50" s="318"/>
      <c r="L50" s="370" t="s">
        <v>213</v>
      </c>
      <c r="M50" s="371"/>
      <c r="N50" s="184">
        <f>$F$28*(((N49-$F$22)*$F$26*$F$45*$F$24)+$F$32)/$F$12</f>
        <v>2.2505796743817261</v>
      </c>
      <c r="O50" s="184">
        <f>$F$28*(((O49-$F$22)*$F$26*$F$45*$F$24)+$F$32)/$F$12</f>
        <v>2.7547336669703864</v>
      </c>
      <c r="P50" s="184">
        <f>$F$28*(((P49-$F$22)*$F$26*$F$45*$F$24)+$F$32)/$F$12</f>
        <v>3.2588876595590466</v>
      </c>
      <c r="Q50" s="184">
        <f>$F$28*(((Q49-$F$22)*$F$26*$F$45*$F$24)+$F$32)/$F$12</f>
        <v>3.7630416521477064</v>
      </c>
      <c r="R50" s="182"/>
      <c r="S50" s="183"/>
      <c r="T50" s="51"/>
    </row>
    <row r="51" spans="1:20" ht="12.75" customHeight="1" x14ac:dyDescent="0.25">
      <c r="A51" s="51"/>
      <c r="B51" s="225" t="s">
        <v>220</v>
      </c>
      <c r="C51" s="226"/>
      <c r="D51" s="226"/>
      <c r="E51" s="226"/>
      <c r="F51" s="226"/>
      <c r="G51" s="226"/>
      <c r="H51" s="226"/>
      <c r="I51" s="227"/>
      <c r="J51" s="301"/>
      <c r="K51" s="318"/>
      <c r="L51" s="370" t="s">
        <v>214</v>
      </c>
      <c r="M51" s="371"/>
      <c r="N51" s="184">
        <f>$F$28*(((N49-$F$22)*$F$26*$F$45*$F$24)+$F$42)/$F$12</f>
        <v>1.6240306320874571</v>
      </c>
      <c r="O51" s="184">
        <f>$F$28*(((O49-$F$22)*$F$26*$F$45*$F$24)+$F$42)/$F$12</f>
        <v>2.1281846246761171</v>
      </c>
      <c r="P51" s="184">
        <f>$F$28*(((P49-$F$22)*$F$26*$F$45*$F$24)+$F$42)/$F$12</f>
        <v>2.6323386172647769</v>
      </c>
      <c r="Q51" s="184">
        <f>$F$28*(((Q49-$F$22)*$F$26*$F$45*$F$24)+$F$42)/$F$12</f>
        <v>3.1364926098534376</v>
      </c>
      <c r="R51" s="182"/>
      <c r="S51" s="183"/>
      <c r="T51" s="51"/>
    </row>
    <row r="52" spans="1:20" ht="12.75" customHeight="1" x14ac:dyDescent="0.25">
      <c r="A52" s="51"/>
      <c r="B52" s="158"/>
      <c r="C52" s="159"/>
      <c r="D52" s="159"/>
      <c r="E52" s="161" t="s">
        <v>219</v>
      </c>
      <c r="F52" s="246">
        <f>IF(F32&gt;=F42, (F49+F32), (F49+F42))</f>
        <v>91.824455565679543</v>
      </c>
      <c r="G52" s="69" t="s">
        <v>209</v>
      </c>
      <c r="H52" s="159"/>
      <c r="I52" s="163"/>
      <c r="J52" s="302"/>
      <c r="K52" s="318"/>
      <c r="L52" s="176"/>
      <c r="M52" s="176"/>
      <c r="N52" s="176"/>
      <c r="O52" s="176"/>
      <c r="P52" s="254"/>
      <c r="Q52" s="254"/>
      <c r="R52" s="176"/>
      <c r="S52" s="163"/>
      <c r="T52" s="51"/>
    </row>
    <row r="53" spans="1:20" ht="12.75" customHeight="1" thickBot="1" x14ac:dyDescent="0.3">
      <c r="A53" s="51"/>
      <c r="B53" s="165"/>
      <c r="C53" s="174"/>
      <c r="D53" s="174"/>
      <c r="E53" s="175"/>
      <c r="F53" s="242"/>
      <c r="G53" s="242"/>
      <c r="H53" s="166"/>
      <c r="I53" s="167"/>
      <c r="J53" s="302"/>
      <c r="K53" s="319"/>
      <c r="L53" s="308"/>
      <c r="M53" s="308"/>
      <c r="N53" s="308"/>
      <c r="O53" s="308"/>
      <c r="P53" s="308"/>
      <c r="Q53" s="308"/>
      <c r="R53" s="308"/>
      <c r="S53" s="309"/>
      <c r="T53" s="51"/>
    </row>
    <row r="54" spans="1:20" ht="12.75" customHeight="1" x14ac:dyDescent="0.25">
      <c r="A54" s="51"/>
      <c r="B54" s="51"/>
      <c r="C54" s="51"/>
      <c r="D54" s="51"/>
      <c r="E54" s="51"/>
      <c r="F54" s="239"/>
      <c r="G54" s="239"/>
      <c r="H54" s="51"/>
      <c r="I54" s="51"/>
      <c r="J54" s="51"/>
      <c r="K54" s="302"/>
      <c r="L54" s="301"/>
      <c r="M54" s="301"/>
      <c r="N54" s="301"/>
      <c r="O54" s="301"/>
      <c r="P54" s="301"/>
      <c r="Q54" s="301"/>
      <c r="R54" s="301"/>
      <c r="S54" s="301"/>
      <c r="T54" s="29" t="s">
        <v>221</v>
      </c>
    </row>
    <row r="55" spans="1:20" ht="0" hidden="1" customHeight="1" x14ac:dyDescent="0.25">
      <c r="K55" s="51"/>
      <c r="L55" s="302"/>
      <c r="M55" s="302"/>
      <c r="N55" s="302"/>
      <c r="O55" s="302"/>
      <c r="P55" s="302"/>
      <c r="Q55" s="302"/>
      <c r="R55" s="302"/>
      <c r="S55" s="302"/>
    </row>
    <row r="56" spans="1:20" ht="0" hidden="1" customHeight="1" x14ac:dyDescent="0.2">
      <c r="L56" s="302"/>
      <c r="M56" s="302"/>
      <c r="N56" s="302"/>
      <c r="O56" s="302"/>
      <c r="P56" s="302"/>
      <c r="Q56" s="302"/>
      <c r="R56" s="302"/>
      <c r="S56" s="302"/>
    </row>
    <row r="57" spans="1:20" ht="0" hidden="1" customHeight="1" x14ac:dyDescent="0.25">
      <c r="L57" s="51"/>
      <c r="M57" s="51"/>
      <c r="N57" s="51"/>
      <c r="O57" s="51"/>
      <c r="P57" s="51"/>
      <c r="Q57" s="51"/>
      <c r="R57" s="51"/>
      <c r="S57" s="51"/>
    </row>
    <row r="58" spans="1:20" ht="0" hidden="1" customHeight="1" x14ac:dyDescent="0.2"/>
    <row r="59" spans="1:20" ht="0" hidden="1" customHeight="1" x14ac:dyDescent="0.2"/>
    <row r="60" spans="1:20" ht="0" hidden="1" customHeight="1" x14ac:dyDescent="0.2"/>
    <row r="61" spans="1:20" ht="0" hidden="1" customHeight="1" x14ac:dyDescent="0.2"/>
    <row r="62" spans="1:20" ht="0" hidden="1" customHeight="1" x14ac:dyDescent="0.2"/>
    <row r="63" spans="1:20" ht="0" hidden="1" customHeight="1" x14ac:dyDescent="0.2"/>
    <row r="64" spans="1:20" ht="0" hidden="1" customHeight="1" x14ac:dyDescent="0.2"/>
    <row r="65" ht="0" hidden="1" customHeight="1" x14ac:dyDescent="0.2"/>
    <row r="66" ht="0" hidden="1" customHeight="1" x14ac:dyDescent="0.2"/>
    <row r="67" ht="0" hidden="1" customHeight="1" x14ac:dyDescent="0.2"/>
    <row r="68" ht="0" hidden="1" customHeight="1" x14ac:dyDescent="0.2"/>
    <row r="69" ht="0" hidden="1" customHeight="1" x14ac:dyDescent="0.2"/>
    <row r="70" ht="0" hidden="1" customHeight="1" x14ac:dyDescent="0.2"/>
    <row r="71" ht="0" hidden="1" customHeight="1" x14ac:dyDescent="0.2"/>
    <row r="72" ht="0" hidden="1" customHeight="1" x14ac:dyDescent="0.2"/>
    <row r="73" ht="0" hidden="1" customHeight="1" x14ac:dyDescent="0.2"/>
    <row r="74" ht="0" hidden="1" customHeight="1" x14ac:dyDescent="0.2"/>
    <row r="75" ht="0" hidden="1" customHeight="1" x14ac:dyDescent="0.2"/>
    <row r="76" ht="0" hidden="1" customHeight="1" x14ac:dyDescent="0.2"/>
    <row r="77" ht="0" hidden="1" customHeight="1" x14ac:dyDescent="0.2"/>
    <row r="78" ht="0" hidden="1" customHeight="1" x14ac:dyDescent="0.2"/>
    <row r="79" ht="0" hidden="1" customHeight="1" x14ac:dyDescent="0.2"/>
    <row r="80" ht="0" hidden="1" customHeight="1" x14ac:dyDescent="0.2"/>
    <row r="81" ht="0" hidden="1" customHeight="1" x14ac:dyDescent="0.2"/>
    <row r="82" ht="0" hidden="1" customHeight="1" x14ac:dyDescent="0.2"/>
    <row r="83" ht="0" hidden="1" customHeight="1" x14ac:dyDescent="0.2"/>
    <row r="84" ht="0" hidden="1" customHeight="1" x14ac:dyDescent="0.2"/>
    <row r="85" ht="0" hidden="1" customHeight="1" x14ac:dyDescent="0.2"/>
    <row r="86" ht="0" hidden="1" customHeight="1" x14ac:dyDescent="0.2"/>
    <row r="87" ht="0" hidden="1" customHeight="1" x14ac:dyDescent="0.2"/>
    <row r="88" ht="0" hidden="1" customHeight="1" x14ac:dyDescent="0.2"/>
    <row r="89" ht="0" hidden="1" customHeight="1" x14ac:dyDescent="0.2"/>
    <row r="90" ht="0" hidden="1" customHeight="1" x14ac:dyDescent="0.2"/>
    <row r="91" ht="0" hidden="1" customHeight="1" x14ac:dyDescent="0.2"/>
    <row r="92" ht="0" hidden="1" customHeight="1" x14ac:dyDescent="0.2"/>
    <row r="93" ht="0" hidden="1" customHeight="1" x14ac:dyDescent="0.2"/>
    <row r="94" ht="0" hidden="1" customHeight="1" x14ac:dyDescent="0.2"/>
  </sheetData>
  <sheetProtection password="C985" sheet="1" objects="1" scenarios="1"/>
  <mergeCells count="4">
    <mergeCell ref="T1:U1"/>
    <mergeCell ref="N48:Q48"/>
    <mergeCell ref="L50:M50"/>
    <mergeCell ref="L51:M51"/>
  </mergeCells>
  <conditionalFormatting sqref="L33">
    <cfRule type="expression" dxfId="3" priority="8">
      <formula>$N$32&lt;-20</formula>
    </cfRule>
  </conditionalFormatting>
  <conditionalFormatting sqref="M36 K31:K43 K3:K29 K45:K53 P42 P37:P40 Q37:R42 N38:O39 M40:O40 N34:O35 M39 M34">
    <cfRule type="expression" dxfId="2" priority="6">
      <formula>$N$32&gt;-20</formula>
    </cfRule>
  </conditionalFormatting>
  <conditionalFormatting sqref="N36:O36">
    <cfRule type="expression" dxfId="1" priority="2">
      <formula>$N$32&gt;-20</formula>
    </cfRule>
  </conditionalFormatting>
  <conditionalFormatting sqref="M42:O42">
    <cfRule type="expression" dxfId="0" priority="1">
      <formula>$N$32&gt;-20</formula>
    </cfRule>
  </conditionalFormatting>
  <dataValidations xWindow="539" yWindow="325" count="1">
    <dataValidation type="list" allowBlank="1" showInputMessage="1" showErrorMessage="1" sqref="F6">
      <formula1>Poly</formula1>
    </dataValidation>
  </dataValidations>
  <hyperlinks>
    <hyperlink ref="T1:U1" location="Dashboard!A1" display="Menu"/>
  </hyperlinks>
  <pageMargins left="0.75" right="0.75" top="1" bottom="1" header="0.5" footer="0.5"/>
  <pageSetup paperSize="9" scale="92" orientation="landscape" verticalDpi="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Q167"/>
  <sheetViews>
    <sheetView showGridLines="0" showRowColHeaders="0" zoomScaleNormal="100" workbookViewId="0">
      <pane ySplit="12" topLeftCell="A13" activePane="bottomLeft" state="frozen"/>
      <selection pane="bottomLeft" activeCell="H1" sqref="H1:I1"/>
    </sheetView>
  </sheetViews>
  <sheetFormatPr defaultColWidth="9.140625" defaultRowHeight="12.75" x14ac:dyDescent="0.2"/>
  <cols>
    <col min="1" max="1" width="9.140625" style="187" customWidth="1"/>
    <col min="2" max="2" width="3.42578125" style="187" customWidth="1"/>
    <col min="3" max="3" width="24.140625" style="187" customWidth="1"/>
    <col min="4" max="4" width="17.5703125" style="221" customWidth="1"/>
    <col min="5" max="5" width="9.140625" style="187" customWidth="1"/>
    <col min="6" max="6" width="4.7109375" style="187" customWidth="1"/>
    <col min="7" max="7" width="4" style="187" customWidth="1"/>
    <col min="8" max="8" width="10.28515625" style="187" customWidth="1"/>
    <col min="9" max="9" width="3.42578125" style="187" customWidth="1"/>
    <col min="10" max="10" width="24.140625" style="187" customWidth="1"/>
    <col min="11" max="11" width="17.5703125" style="187" customWidth="1"/>
    <col min="12" max="12" width="9.140625" style="187" customWidth="1"/>
    <col min="13" max="13" width="4.7109375" style="187" customWidth="1"/>
    <col min="14" max="14" width="3.85546875" style="187" customWidth="1"/>
    <col min="15" max="16384" width="9.140625" style="187"/>
  </cols>
  <sheetData>
    <row r="1" spans="1:15" s="186" customFormat="1" ht="26.25" customHeight="1" x14ac:dyDescent="0.2">
      <c r="A1" s="222" t="s">
        <v>108</v>
      </c>
      <c r="C1" s="79"/>
      <c r="D1" s="79"/>
      <c r="E1" s="79"/>
      <c r="F1" s="79"/>
      <c r="G1" s="79"/>
      <c r="H1" s="346" t="s">
        <v>170</v>
      </c>
      <c r="I1" s="347"/>
    </row>
    <row r="2" spans="1:15" ht="14.25" customHeight="1" thickBot="1" x14ac:dyDescent="0.3">
      <c r="A2" s="374"/>
      <c r="B2" s="376" t="s">
        <v>233</v>
      </c>
      <c r="C2" s="375"/>
      <c r="D2" s="375"/>
      <c r="E2" s="375"/>
      <c r="F2" s="375"/>
      <c r="G2" s="375"/>
      <c r="H2" s="375"/>
      <c r="I2" s="376" t="s">
        <v>234</v>
      </c>
      <c r="J2" s="375"/>
      <c r="K2" s="375"/>
      <c r="L2" s="375"/>
      <c r="M2" s="375"/>
      <c r="N2" s="375"/>
      <c r="O2" s="375"/>
    </row>
    <row r="3" spans="1:15" ht="15" x14ac:dyDescent="0.25">
      <c r="A3" s="51"/>
      <c r="B3" s="154" t="s">
        <v>116</v>
      </c>
      <c r="C3" s="188"/>
      <c r="D3" s="189"/>
      <c r="E3" s="188"/>
      <c r="F3" s="188"/>
      <c r="G3" s="190"/>
      <c r="H3" s="51"/>
      <c r="I3" s="154" t="s">
        <v>116</v>
      </c>
      <c r="J3" s="188"/>
      <c r="K3" s="189"/>
      <c r="L3" s="188"/>
      <c r="M3" s="188"/>
      <c r="N3" s="190"/>
      <c r="O3" s="51"/>
    </row>
    <row r="4" spans="1:15" ht="15" x14ac:dyDescent="0.25">
      <c r="A4" s="51"/>
      <c r="B4" s="191"/>
      <c r="C4" s="192"/>
      <c r="D4" s="193" t="s">
        <v>106</v>
      </c>
      <c r="E4" s="162">
        <v>1600</v>
      </c>
      <c r="F4" s="194" t="s">
        <v>105</v>
      </c>
      <c r="G4" s="195"/>
      <c r="H4" s="51"/>
      <c r="I4" s="191"/>
      <c r="J4" s="192"/>
      <c r="K4" s="193" t="s">
        <v>106</v>
      </c>
      <c r="L4" s="162">
        <v>1600</v>
      </c>
      <c r="M4" s="194" t="s">
        <v>105</v>
      </c>
      <c r="N4" s="195"/>
      <c r="O4" s="51"/>
    </row>
    <row r="5" spans="1:15" ht="15" x14ac:dyDescent="0.25">
      <c r="A5" s="51"/>
      <c r="B5" s="191"/>
      <c r="C5" s="194"/>
      <c r="D5" s="193"/>
      <c r="E5" s="193"/>
      <c r="F5" s="194"/>
      <c r="G5" s="195"/>
      <c r="H5" s="51"/>
      <c r="I5" s="191"/>
      <c r="J5" s="194"/>
      <c r="K5" s="193"/>
      <c r="L5" s="193"/>
      <c r="M5" s="194"/>
      <c r="N5" s="195"/>
      <c r="O5" s="51"/>
    </row>
    <row r="6" spans="1:15" ht="15" x14ac:dyDescent="0.25">
      <c r="A6" s="51"/>
      <c r="B6" s="191"/>
      <c r="C6" s="192"/>
      <c r="D6" s="193" t="s">
        <v>104</v>
      </c>
      <c r="E6" s="162">
        <v>450</v>
      </c>
      <c r="F6" s="194" t="s">
        <v>91</v>
      </c>
      <c r="G6" s="195"/>
      <c r="H6" s="51"/>
      <c r="I6" s="191"/>
      <c r="J6" s="192"/>
      <c r="K6" s="193" t="s">
        <v>104</v>
      </c>
      <c r="L6" s="162">
        <v>450</v>
      </c>
      <c r="M6" s="194" t="s">
        <v>91</v>
      </c>
      <c r="N6" s="195"/>
      <c r="O6" s="51"/>
    </row>
    <row r="7" spans="1:15" ht="15" hidden="1" customHeight="1" x14ac:dyDescent="0.25">
      <c r="A7" s="51"/>
      <c r="B7" s="191"/>
      <c r="C7" s="194" t="s">
        <v>104</v>
      </c>
      <c r="D7" s="193"/>
      <c r="E7" s="196">
        <f>E6/1000</f>
        <v>0.45</v>
      </c>
      <c r="F7" s="194" t="s">
        <v>61</v>
      </c>
      <c r="G7" s="195"/>
      <c r="H7" s="51"/>
      <c r="I7" s="191"/>
      <c r="J7" s="194" t="s">
        <v>104</v>
      </c>
      <c r="K7" s="193"/>
      <c r="L7" s="196">
        <f>L6/1000</f>
        <v>0.45</v>
      </c>
      <c r="M7" s="194" t="s">
        <v>61</v>
      </c>
      <c r="N7" s="195"/>
      <c r="O7" s="51"/>
    </row>
    <row r="8" spans="1:15" ht="15" hidden="1" customHeight="1" x14ac:dyDescent="0.25">
      <c r="A8" s="51"/>
      <c r="B8" s="191"/>
      <c r="C8" s="194" t="s">
        <v>103</v>
      </c>
      <c r="D8" s="193"/>
      <c r="E8" s="197"/>
      <c r="F8" s="194"/>
      <c r="G8" s="195"/>
      <c r="H8" s="51"/>
      <c r="I8" s="191"/>
      <c r="J8" s="194" t="s">
        <v>103</v>
      </c>
      <c r="K8" s="193"/>
      <c r="L8" s="197"/>
      <c r="M8" s="194"/>
      <c r="N8" s="195"/>
      <c r="O8" s="51"/>
    </row>
    <row r="9" spans="1:15" ht="15" hidden="1" customHeight="1" x14ac:dyDescent="0.25">
      <c r="A9" s="51"/>
      <c r="B9" s="191"/>
      <c r="C9" s="194" t="s">
        <v>102</v>
      </c>
      <c r="D9" s="193"/>
      <c r="E9" s="206">
        <f>TAN((45*D141/180)+(D157*D141/360))^2</f>
        <v>2.9999999999999982</v>
      </c>
      <c r="F9" s="194"/>
      <c r="G9" s="195"/>
      <c r="H9" s="51"/>
      <c r="I9" s="191"/>
      <c r="J9" s="194" t="s">
        <v>102</v>
      </c>
      <c r="K9" s="193"/>
      <c r="L9" s="206">
        <f>TAN((45*K141/180)+(K157*K141/360))^2</f>
        <v>2.9999999999999982</v>
      </c>
      <c r="M9" s="194"/>
      <c r="N9" s="195"/>
      <c r="O9" s="51"/>
    </row>
    <row r="10" spans="1:15" ht="15" hidden="1" customHeight="1" x14ac:dyDescent="0.25">
      <c r="A10" s="51"/>
      <c r="B10" s="191"/>
      <c r="C10" s="194" t="s">
        <v>81</v>
      </c>
      <c r="D10" s="193" t="s">
        <v>77</v>
      </c>
      <c r="E10" s="197">
        <f>D159*D157</f>
        <v>22.5</v>
      </c>
      <c r="F10" s="194" t="s">
        <v>66</v>
      </c>
      <c r="G10" s="195"/>
      <c r="H10" s="51"/>
      <c r="I10" s="191"/>
      <c r="J10" s="194" t="s">
        <v>81</v>
      </c>
      <c r="K10" s="193" t="s">
        <v>77</v>
      </c>
      <c r="L10" s="197">
        <f>K159*K157</f>
        <v>22.5</v>
      </c>
      <c r="M10" s="194" t="s">
        <v>66</v>
      </c>
      <c r="N10" s="195"/>
      <c r="O10" s="51"/>
    </row>
    <row r="11" spans="1:15" ht="15" hidden="1" customHeight="1" x14ac:dyDescent="0.25">
      <c r="A11" s="51"/>
      <c r="B11" s="191"/>
      <c r="C11" s="194"/>
      <c r="D11" s="193"/>
      <c r="E11" s="197"/>
      <c r="F11" s="194"/>
      <c r="G11" s="195"/>
      <c r="H11" s="51"/>
      <c r="I11" s="191"/>
      <c r="J11" s="194"/>
      <c r="K11" s="193"/>
      <c r="L11" s="197"/>
      <c r="M11" s="194"/>
      <c r="N11" s="195"/>
      <c r="O11" s="51"/>
    </row>
    <row r="12" spans="1:15" ht="15.75" thickBot="1" x14ac:dyDescent="0.3">
      <c r="A12" s="51"/>
      <c r="B12" s="199"/>
      <c r="C12" s="200"/>
      <c r="D12" s="201"/>
      <c r="E12" s="202"/>
      <c r="F12" s="200"/>
      <c r="G12" s="203"/>
      <c r="H12" s="51"/>
      <c r="I12" s="199"/>
      <c r="J12" s="200"/>
      <c r="K12" s="201"/>
      <c r="L12" s="202"/>
      <c r="M12" s="200"/>
      <c r="N12" s="203"/>
      <c r="O12" s="51"/>
    </row>
    <row r="13" spans="1:15" ht="15.75" thickBot="1" x14ac:dyDescent="0.3">
      <c r="A13" s="51"/>
      <c r="B13" s="51"/>
      <c r="C13" s="51"/>
      <c r="D13" s="51"/>
      <c r="E13" s="51"/>
      <c r="F13" s="51"/>
      <c r="G13" s="51"/>
      <c r="H13" s="51"/>
      <c r="I13" s="51"/>
      <c r="J13" s="51"/>
      <c r="K13" s="51"/>
      <c r="L13" s="51"/>
      <c r="M13" s="51"/>
      <c r="N13" s="51"/>
      <c r="O13" s="51"/>
    </row>
    <row r="14" spans="1:15" ht="15" x14ac:dyDescent="0.25">
      <c r="A14" s="51"/>
      <c r="B14" s="154" t="s">
        <v>31</v>
      </c>
      <c r="C14" s="188"/>
      <c r="D14" s="189"/>
      <c r="E14" s="204"/>
      <c r="F14" s="188"/>
      <c r="G14" s="190"/>
      <c r="H14" s="51"/>
      <c r="I14" s="154" t="s">
        <v>31</v>
      </c>
      <c r="J14" s="188"/>
      <c r="K14" s="189"/>
      <c r="L14" s="204"/>
      <c r="M14" s="188"/>
      <c r="N14" s="190"/>
      <c r="O14" s="51"/>
    </row>
    <row r="15" spans="1:15" ht="15" x14ac:dyDescent="0.25">
      <c r="A15" s="51"/>
      <c r="B15" s="191"/>
      <c r="C15" s="194"/>
      <c r="D15" s="193"/>
      <c r="E15" s="194"/>
      <c r="F15" s="194"/>
      <c r="G15" s="195"/>
      <c r="H15" s="51"/>
      <c r="I15" s="191"/>
      <c r="J15" s="194"/>
      <c r="K15" s="193"/>
      <c r="L15" s="194"/>
      <c r="M15" s="194"/>
      <c r="N15" s="195"/>
      <c r="O15" s="51"/>
    </row>
    <row r="16" spans="1:15" ht="15" x14ac:dyDescent="0.25">
      <c r="A16" s="51"/>
      <c r="B16" s="191"/>
      <c r="C16" s="192"/>
      <c r="D16" s="193" t="s">
        <v>101</v>
      </c>
      <c r="E16" s="162">
        <v>90</v>
      </c>
      <c r="F16" s="194" t="s">
        <v>66</v>
      </c>
      <c r="G16" s="195"/>
      <c r="H16" s="51"/>
      <c r="I16" s="191"/>
      <c r="J16" s="192"/>
      <c r="K16" s="193" t="s">
        <v>101</v>
      </c>
      <c r="L16" s="162">
        <v>90</v>
      </c>
      <c r="M16" s="194" t="s">
        <v>66</v>
      </c>
      <c r="N16" s="195"/>
      <c r="O16" s="51"/>
    </row>
    <row r="17" spans="1:15" ht="15" x14ac:dyDescent="0.25">
      <c r="A17" s="51"/>
      <c r="B17" s="191"/>
      <c r="C17" s="194"/>
      <c r="D17" s="193"/>
      <c r="E17" s="193"/>
      <c r="F17" s="194"/>
      <c r="G17" s="195"/>
      <c r="H17" s="51"/>
      <c r="I17" s="191"/>
      <c r="J17" s="194"/>
      <c r="K17" s="193"/>
      <c r="L17" s="193"/>
      <c r="M17" s="194"/>
      <c r="N17" s="195"/>
      <c r="O17" s="51"/>
    </row>
    <row r="18" spans="1:15" ht="15" x14ac:dyDescent="0.25">
      <c r="A18" s="51"/>
      <c r="B18" s="191"/>
      <c r="C18" s="192"/>
      <c r="D18" s="193" t="s">
        <v>240</v>
      </c>
      <c r="E18" s="162">
        <v>100</v>
      </c>
      <c r="F18" s="194"/>
      <c r="G18" s="195"/>
      <c r="H18" s="51"/>
      <c r="I18" s="191"/>
      <c r="J18" s="192"/>
      <c r="K18" s="193" t="s">
        <v>250</v>
      </c>
      <c r="L18" s="162">
        <v>125</v>
      </c>
      <c r="M18" s="194" t="s">
        <v>91</v>
      </c>
      <c r="N18" s="195"/>
      <c r="O18" s="51"/>
    </row>
    <row r="19" spans="1:15" ht="15" hidden="1" x14ac:dyDescent="0.25">
      <c r="A19" s="51"/>
      <c r="B19" s="191"/>
      <c r="C19" s="194" t="s">
        <v>99</v>
      </c>
      <c r="D19" s="193"/>
      <c r="E19" s="205">
        <f>VLOOKUP('Restrained Main Lengths'!E18,PipeSizes,2)/1000</f>
        <v>0.122</v>
      </c>
      <c r="F19" s="194" t="s">
        <v>61</v>
      </c>
      <c r="G19" s="195"/>
      <c r="H19" s="51"/>
      <c r="I19" s="191"/>
      <c r="J19" s="194" t="s">
        <v>99</v>
      </c>
      <c r="K19" s="193"/>
      <c r="L19" s="205">
        <f>L18/1000</f>
        <v>0.125</v>
      </c>
      <c r="M19" s="194" t="s">
        <v>61</v>
      </c>
      <c r="N19" s="195"/>
      <c r="O19" s="51"/>
    </row>
    <row r="20" spans="1:15" ht="15" hidden="1" x14ac:dyDescent="0.25">
      <c r="A20" s="51"/>
      <c r="B20" s="191"/>
      <c r="C20" s="194" t="s">
        <v>97</v>
      </c>
      <c r="D20" s="193" t="s">
        <v>96</v>
      </c>
      <c r="E20" s="197">
        <f>PI()*E19^2/4</f>
        <v>1.168986626400762E-2</v>
      </c>
      <c r="F20" s="194" t="s">
        <v>95</v>
      </c>
      <c r="G20" s="195"/>
      <c r="H20" s="51"/>
      <c r="I20" s="191"/>
      <c r="J20" s="194" t="s">
        <v>97</v>
      </c>
      <c r="K20" s="193" t="s">
        <v>96</v>
      </c>
      <c r="L20" s="197">
        <f>PI()*L19^2/4</f>
        <v>1.2271846303085129E-2</v>
      </c>
      <c r="M20" s="194" t="s">
        <v>95</v>
      </c>
      <c r="N20" s="195"/>
      <c r="O20" s="51"/>
    </row>
    <row r="21" spans="1:15" ht="15" hidden="1" x14ac:dyDescent="0.25">
      <c r="A21" s="51"/>
      <c r="B21" s="191"/>
      <c r="D21" s="193"/>
      <c r="E21" s="197"/>
      <c r="F21" s="194"/>
      <c r="G21" s="195"/>
      <c r="H21" s="51"/>
      <c r="I21" s="191"/>
      <c r="K21" s="193"/>
      <c r="L21" s="197"/>
      <c r="M21" s="194"/>
      <c r="N21" s="195"/>
      <c r="O21" s="51"/>
    </row>
    <row r="22" spans="1:15" ht="15" hidden="1" x14ac:dyDescent="0.25">
      <c r="A22" s="51"/>
      <c r="B22" s="191"/>
      <c r="C22" s="194" t="s">
        <v>100</v>
      </c>
      <c r="D22" s="193"/>
      <c r="E22" s="206">
        <f>(2*$E$24+$E$25+$E$26)*TAN($E$10)</f>
        <v>1.1225438999817257</v>
      </c>
      <c r="F22" s="194" t="s">
        <v>78</v>
      </c>
      <c r="G22" s="195"/>
      <c r="H22" s="51"/>
      <c r="I22" s="191"/>
      <c r="J22" s="194" t="s">
        <v>100</v>
      </c>
      <c r="K22" s="193"/>
      <c r="L22" s="206">
        <f>(2*$E$24+$E$25+$E$26)*TAN($E$10)</f>
        <v>1.1225438999817257</v>
      </c>
      <c r="M22" s="194" t="s">
        <v>78</v>
      </c>
      <c r="N22" s="195"/>
      <c r="O22" s="51"/>
    </row>
    <row r="23" spans="1:15" ht="15" hidden="1" x14ac:dyDescent="0.25">
      <c r="A23" s="51"/>
      <c r="B23" s="191"/>
      <c r="C23" s="194" t="s">
        <v>87</v>
      </c>
      <c r="D23" s="193"/>
      <c r="E23" s="196">
        <f>$E$7+$E$19/2</f>
        <v>0.51100000000000001</v>
      </c>
      <c r="F23" s="194" t="s">
        <v>61</v>
      </c>
      <c r="G23" s="195"/>
      <c r="H23" s="51"/>
      <c r="I23" s="191"/>
      <c r="J23" s="194" t="s">
        <v>87</v>
      </c>
      <c r="K23" s="193"/>
      <c r="L23" s="196">
        <f>(L6+L18/2)/1000</f>
        <v>0.51249999999999996</v>
      </c>
      <c r="M23" s="194" t="s">
        <v>61</v>
      </c>
      <c r="N23" s="195"/>
      <c r="O23" s="51"/>
    </row>
    <row r="24" spans="1:15" ht="15" hidden="1" x14ac:dyDescent="0.25">
      <c r="A24" s="51"/>
      <c r="B24" s="191"/>
      <c r="C24" s="194" t="s">
        <v>86</v>
      </c>
      <c r="D24" s="193" t="s">
        <v>80</v>
      </c>
      <c r="E24" s="206">
        <f>$D$149*$E$23*$E$19</f>
        <v>0.87902219999999998</v>
      </c>
      <c r="F24" s="194"/>
      <c r="G24" s="195"/>
      <c r="H24" s="51"/>
      <c r="I24" s="191"/>
      <c r="J24" s="194" t="s">
        <v>86</v>
      </c>
      <c r="K24" s="193" t="s">
        <v>80</v>
      </c>
      <c r="L24" s="206">
        <f>$D$149*$E$23*$E$19</f>
        <v>0.87902219999999998</v>
      </c>
      <c r="M24" s="194"/>
      <c r="N24" s="195"/>
      <c r="O24" s="51"/>
    </row>
    <row r="25" spans="1:15" ht="15" hidden="1" x14ac:dyDescent="0.25">
      <c r="A25" s="51"/>
      <c r="B25" s="191"/>
      <c r="C25" s="194" t="s">
        <v>85</v>
      </c>
      <c r="D25" s="193" t="s">
        <v>242</v>
      </c>
      <c r="E25" s="206">
        <f>(((D141*E19^2/4)-(D141*(E19-E27)^2/4))*D151)+(((D141*(E19-E27)^2/4)-(D141*(E19-E27-E28)^2/4))*D153)</f>
        <v>0.17250485260861539</v>
      </c>
      <c r="F25" s="194" t="s">
        <v>78</v>
      </c>
      <c r="G25" s="195"/>
      <c r="H25" s="51"/>
      <c r="I25" s="191"/>
      <c r="J25" s="194" t="s">
        <v>241</v>
      </c>
      <c r="K25" s="193"/>
      <c r="L25" s="196">
        <f>VLOOKUP(L18,PolyID,2)/1000</f>
        <v>0.10100000000000001</v>
      </c>
      <c r="M25" s="194" t="s">
        <v>61</v>
      </c>
      <c r="N25" s="195"/>
      <c r="O25" s="51"/>
    </row>
    <row r="26" spans="1:15" ht="15" hidden="1" x14ac:dyDescent="0.25">
      <c r="A26" s="51"/>
      <c r="B26" s="191"/>
      <c r="C26" s="194" t="s">
        <v>84</v>
      </c>
      <c r="D26" s="193"/>
      <c r="E26" s="206">
        <f>D155*(D141*(E19-E27-E28)^2/4)</f>
        <v>8.171282491987053E-2</v>
      </c>
      <c r="F26" s="194" t="s">
        <v>78</v>
      </c>
      <c r="G26" s="195"/>
      <c r="H26" s="51"/>
      <c r="I26" s="191"/>
      <c r="J26" s="194" t="s">
        <v>85</v>
      </c>
      <c r="K26" s="193" t="s">
        <v>242</v>
      </c>
      <c r="L26" s="206">
        <f>((K141*L19^2/4)-(K141*(L25)^2/4))*K151</f>
        <v>4.0682996545457095E-2</v>
      </c>
      <c r="M26" s="194" t="s">
        <v>78</v>
      </c>
      <c r="N26" s="195"/>
      <c r="O26" s="51"/>
    </row>
    <row r="27" spans="1:15" ht="15" hidden="1" x14ac:dyDescent="0.25">
      <c r="A27" s="51"/>
      <c r="B27" s="191"/>
      <c r="C27" s="194" t="s">
        <v>83</v>
      </c>
      <c r="D27" s="193"/>
      <c r="E27" s="196">
        <f>D163*2</f>
        <v>0.01</v>
      </c>
      <c r="F27" s="194" t="s">
        <v>61</v>
      </c>
      <c r="G27" s="195"/>
      <c r="H27" s="51"/>
      <c r="I27" s="191"/>
      <c r="J27" s="194" t="s">
        <v>84</v>
      </c>
      <c r="K27" s="193"/>
      <c r="L27" s="206">
        <f>K155*(K141*(L25)^2/4)</f>
        <v>8.0118466648173708E-2</v>
      </c>
      <c r="M27" s="194" t="s">
        <v>78</v>
      </c>
      <c r="N27" s="195"/>
      <c r="O27" s="51"/>
    </row>
    <row r="28" spans="1:15" ht="15" hidden="1" x14ac:dyDescent="0.25">
      <c r="A28" s="51"/>
      <c r="B28" s="191"/>
      <c r="C28" s="194" t="s">
        <v>82</v>
      </c>
      <c r="D28" s="193"/>
      <c r="E28" s="196">
        <f>D165*2</f>
        <v>0.01</v>
      </c>
      <c r="F28" s="194" t="s">
        <v>61</v>
      </c>
      <c r="G28" s="195"/>
      <c r="H28" s="51"/>
      <c r="I28" s="191"/>
      <c r="J28" s="194"/>
      <c r="K28" s="193"/>
      <c r="L28" s="196"/>
      <c r="M28" s="194"/>
      <c r="N28" s="195"/>
      <c r="O28" s="51"/>
    </row>
    <row r="29" spans="1:15" ht="15" hidden="1" x14ac:dyDescent="0.25">
      <c r="A29" s="51"/>
      <c r="B29" s="191"/>
      <c r="C29" s="194"/>
      <c r="D29" s="193"/>
      <c r="E29" s="196"/>
      <c r="F29" s="194"/>
      <c r="G29" s="195"/>
      <c r="H29" s="51"/>
      <c r="I29" s="191"/>
      <c r="J29" s="194"/>
      <c r="K29" s="193"/>
      <c r="L29" s="196"/>
      <c r="M29" s="194"/>
      <c r="N29" s="195"/>
      <c r="O29" s="51"/>
    </row>
    <row r="30" spans="1:15" ht="15" hidden="1" x14ac:dyDescent="0.25">
      <c r="A30" s="51"/>
      <c r="B30" s="191"/>
      <c r="C30" s="194"/>
      <c r="D30" s="193"/>
      <c r="E30" s="198">
        <f>$D$149*E23*$E$9</f>
        <v>21.615299999999987</v>
      </c>
      <c r="F30" s="194"/>
      <c r="G30" s="195"/>
      <c r="H30" s="51"/>
      <c r="I30" s="191"/>
      <c r="J30" s="194"/>
      <c r="K30" s="193"/>
      <c r="L30" s="198">
        <f>$K$149*L23*L9</f>
        <v>21.678749999999987</v>
      </c>
      <c r="M30" s="194"/>
      <c r="N30" s="195"/>
      <c r="O30" s="51"/>
    </row>
    <row r="31" spans="1:15" ht="15" hidden="1" x14ac:dyDescent="0.25">
      <c r="A31" s="51"/>
      <c r="B31" s="191"/>
      <c r="C31" s="194"/>
      <c r="D31" s="193"/>
      <c r="E31" s="198"/>
      <c r="F31" s="194"/>
      <c r="G31" s="195"/>
      <c r="H31" s="51"/>
      <c r="I31" s="191"/>
      <c r="J31" s="194"/>
      <c r="K31" s="193" t="s">
        <v>244</v>
      </c>
      <c r="L31" s="198"/>
      <c r="M31" s="194"/>
      <c r="N31" s="195"/>
      <c r="O31" s="51"/>
    </row>
    <row r="32" spans="1:15" ht="15" hidden="1" x14ac:dyDescent="0.25">
      <c r="A32" s="51"/>
      <c r="B32" s="191"/>
      <c r="C32" s="207"/>
      <c r="D32" s="193" t="s">
        <v>243</v>
      </c>
      <c r="E32" s="197">
        <f>D143*E4*E20*TAN(E16*D141/360)</f>
        <v>28.055679033618283</v>
      </c>
      <c r="F32" s="194" t="s">
        <v>209</v>
      </c>
      <c r="G32" s="195"/>
      <c r="H32" s="51"/>
      <c r="I32" s="191"/>
      <c r="J32" s="207"/>
      <c r="K32" s="193" t="s">
        <v>243</v>
      </c>
      <c r="L32" s="197">
        <f>K143*L4*L20*TAN(L16*K141/360)</f>
        <v>29.452431127404306</v>
      </c>
      <c r="M32" s="194" t="s">
        <v>209</v>
      </c>
      <c r="N32" s="195"/>
      <c r="O32" s="51"/>
    </row>
    <row r="33" spans="1:15" ht="15" hidden="1" x14ac:dyDescent="0.25">
      <c r="A33" s="51"/>
      <c r="B33" s="191"/>
      <c r="C33" s="194"/>
      <c r="D33" s="193" t="s">
        <v>245</v>
      </c>
      <c r="E33" s="197">
        <f>E22+(D161*E30*E19)/2</f>
        <v>2.3751505349817248</v>
      </c>
      <c r="F33" s="194" t="s">
        <v>249</v>
      </c>
      <c r="G33" s="195"/>
      <c r="H33" s="51"/>
      <c r="I33" s="191"/>
      <c r="J33" s="194"/>
      <c r="K33" s="193" t="s">
        <v>245</v>
      </c>
      <c r="L33" s="197">
        <f>L22+(K161*L30*L19)/2</f>
        <v>2.4097196812317248</v>
      </c>
      <c r="M33" s="194" t="s">
        <v>249</v>
      </c>
      <c r="N33" s="195"/>
      <c r="O33" s="51"/>
    </row>
    <row r="34" spans="1:15" ht="15" hidden="1" x14ac:dyDescent="0.25">
      <c r="A34" s="51"/>
      <c r="B34" s="191"/>
      <c r="C34" s="194"/>
      <c r="D34" s="193" t="s">
        <v>245</v>
      </c>
      <c r="E34" s="206">
        <f>E22</f>
        <v>1.1225438999817257</v>
      </c>
      <c r="F34" s="194" t="s">
        <v>246</v>
      </c>
      <c r="G34" s="195"/>
      <c r="H34" s="51"/>
      <c r="I34" s="191"/>
      <c r="J34" s="194"/>
      <c r="K34" s="193" t="s">
        <v>245</v>
      </c>
      <c r="L34" s="206">
        <f>L22</f>
        <v>1.1225438999817257</v>
      </c>
      <c r="M34" s="194" t="s">
        <v>246</v>
      </c>
      <c r="N34" s="195"/>
      <c r="O34" s="51"/>
    </row>
    <row r="35" spans="1:15" ht="15" x14ac:dyDescent="0.25">
      <c r="A35" s="51"/>
      <c r="B35" s="191"/>
      <c r="C35" s="194"/>
      <c r="D35" s="193"/>
      <c r="E35" s="208"/>
      <c r="F35" s="194"/>
      <c r="G35" s="195"/>
      <c r="H35" s="51"/>
      <c r="I35" s="191"/>
      <c r="J35" s="194"/>
      <c r="K35" s="193"/>
      <c r="L35" s="208"/>
      <c r="M35" s="194"/>
      <c r="N35" s="195"/>
      <c r="O35" s="51"/>
    </row>
    <row r="36" spans="1:15" ht="15" x14ac:dyDescent="0.25">
      <c r="A36" s="51"/>
      <c r="B36" s="191"/>
      <c r="C36" s="194"/>
      <c r="D36" s="193" t="s">
        <v>138</v>
      </c>
      <c r="E36" s="209">
        <f>E32/E33</f>
        <v>11.812168795370333</v>
      </c>
      <c r="F36" s="194" t="s">
        <v>61</v>
      </c>
      <c r="G36" s="195"/>
      <c r="H36" s="51"/>
      <c r="I36" s="191"/>
      <c r="J36" s="194"/>
      <c r="K36" s="193" t="s">
        <v>138</v>
      </c>
      <c r="L36" s="209">
        <f>L32/L33</f>
        <v>12.222347419410102</v>
      </c>
      <c r="M36" s="194" t="s">
        <v>61</v>
      </c>
      <c r="N36" s="195"/>
      <c r="O36" s="51"/>
    </row>
    <row r="37" spans="1:15" ht="15" x14ac:dyDescent="0.25">
      <c r="A37" s="51"/>
      <c r="B37" s="191"/>
      <c r="C37" s="194"/>
      <c r="D37" s="193"/>
      <c r="E37" s="193"/>
      <c r="F37" s="194"/>
      <c r="G37" s="195"/>
      <c r="H37" s="51"/>
      <c r="I37" s="191"/>
      <c r="J37" s="194"/>
      <c r="K37" s="193"/>
      <c r="L37" s="193"/>
      <c r="M37" s="194"/>
      <c r="N37" s="195"/>
      <c r="O37" s="51"/>
    </row>
    <row r="38" spans="1:15" ht="15" x14ac:dyDescent="0.25">
      <c r="A38" s="51"/>
      <c r="B38" s="191"/>
      <c r="C38" s="194"/>
      <c r="D38" s="193" t="s">
        <v>137</v>
      </c>
      <c r="E38" s="209">
        <f>E32/E34</f>
        <v>24.992945963249198</v>
      </c>
      <c r="F38" s="194" t="s">
        <v>61</v>
      </c>
      <c r="G38" s="195"/>
      <c r="H38" s="51"/>
      <c r="I38" s="191"/>
      <c r="J38" s="194"/>
      <c r="K38" s="193" t="s">
        <v>137</v>
      </c>
      <c r="L38" s="209">
        <f>L32/L34</f>
        <v>26.237219878780486</v>
      </c>
      <c r="M38" s="194" t="s">
        <v>61</v>
      </c>
      <c r="N38" s="195"/>
      <c r="O38" s="51"/>
    </row>
    <row r="39" spans="1:15" ht="15" hidden="1" x14ac:dyDescent="0.25">
      <c r="A39" s="51"/>
      <c r="B39" s="191"/>
      <c r="C39" s="194"/>
      <c r="D39" s="193"/>
      <c r="E39" s="210"/>
      <c r="F39" s="194"/>
      <c r="G39" s="195"/>
      <c r="H39" s="51"/>
      <c r="I39" s="191"/>
      <c r="J39" s="194"/>
      <c r="K39" s="193"/>
      <c r="L39" s="210"/>
      <c r="M39" s="194"/>
      <c r="N39" s="195"/>
      <c r="O39" s="51"/>
    </row>
    <row r="40" spans="1:15" ht="15" hidden="1" x14ac:dyDescent="0.25">
      <c r="A40" s="51"/>
      <c r="B40" s="191"/>
      <c r="C40" s="194"/>
      <c r="D40" s="193"/>
      <c r="E40" s="197"/>
      <c r="F40" s="194"/>
      <c r="G40" s="195"/>
      <c r="H40" s="51"/>
      <c r="I40" s="191"/>
      <c r="J40" s="194"/>
      <c r="K40" s="193"/>
      <c r="L40" s="197"/>
      <c r="M40" s="194"/>
      <c r="N40" s="195"/>
      <c r="O40" s="51"/>
    </row>
    <row r="41" spans="1:15" ht="15.75" thickBot="1" x14ac:dyDescent="0.3">
      <c r="A41" s="51"/>
      <c r="B41" s="199"/>
      <c r="C41" s="200"/>
      <c r="D41" s="201"/>
      <c r="E41" s="202"/>
      <c r="F41" s="200"/>
      <c r="G41" s="203"/>
      <c r="H41" s="51"/>
      <c r="I41" s="199"/>
      <c r="J41" s="200"/>
      <c r="K41" s="201"/>
      <c r="L41" s="202"/>
      <c r="M41" s="200"/>
      <c r="N41" s="203"/>
      <c r="O41" s="51"/>
    </row>
    <row r="42" spans="1:15" ht="15.75" thickBot="1" x14ac:dyDescent="0.3">
      <c r="A42" s="51"/>
      <c r="B42" s="51"/>
      <c r="C42" s="51"/>
      <c r="D42" s="51"/>
      <c r="E42" s="51"/>
      <c r="F42" s="51"/>
      <c r="G42" s="51"/>
      <c r="H42" s="51"/>
      <c r="I42" s="51"/>
      <c r="J42" s="51"/>
      <c r="K42" s="51"/>
      <c r="L42" s="51"/>
      <c r="M42" s="51"/>
      <c r="N42" s="51"/>
      <c r="O42" s="51"/>
    </row>
    <row r="43" spans="1:15" ht="15" x14ac:dyDescent="0.25">
      <c r="A43" s="51"/>
      <c r="B43" s="154" t="s">
        <v>140</v>
      </c>
      <c r="C43" s="188"/>
      <c r="D43" s="189"/>
      <c r="E43" s="204"/>
      <c r="F43" s="188"/>
      <c r="G43" s="190"/>
      <c r="H43" s="51"/>
      <c r="I43" s="154" t="s">
        <v>140</v>
      </c>
      <c r="J43" s="188"/>
      <c r="K43" s="189"/>
      <c r="L43" s="204"/>
      <c r="M43" s="188"/>
      <c r="N43" s="190"/>
      <c r="O43" s="51"/>
    </row>
    <row r="44" spans="1:15" ht="15" x14ac:dyDescent="0.25">
      <c r="A44" s="51"/>
      <c r="B44" s="191"/>
      <c r="C44" s="194"/>
      <c r="D44" s="193"/>
      <c r="E44" s="208"/>
      <c r="F44" s="194"/>
      <c r="G44" s="195"/>
      <c r="H44" s="51"/>
      <c r="I44" s="191"/>
      <c r="J44" s="194"/>
      <c r="K44" s="193"/>
      <c r="L44" s="208"/>
      <c r="M44" s="194"/>
      <c r="N44" s="195"/>
      <c r="O44" s="51"/>
    </row>
    <row r="45" spans="1:15" ht="15" hidden="1" x14ac:dyDescent="0.25">
      <c r="A45" s="51"/>
      <c r="B45" s="191"/>
      <c r="C45" s="194"/>
      <c r="D45" s="193"/>
      <c r="E45" s="197"/>
      <c r="F45" s="194"/>
      <c r="G45" s="195"/>
      <c r="H45" s="51"/>
      <c r="I45" s="191"/>
      <c r="J45" s="194"/>
      <c r="K45" s="193"/>
      <c r="L45" s="197"/>
      <c r="M45" s="194"/>
      <c r="N45" s="195"/>
      <c r="O45" s="51"/>
    </row>
    <row r="46" spans="1:15" ht="15" hidden="1" x14ac:dyDescent="0.25">
      <c r="A46" s="51"/>
      <c r="B46" s="191"/>
      <c r="C46" s="194" t="s">
        <v>87</v>
      </c>
      <c r="D46" s="193"/>
      <c r="E46" s="196">
        <f>$E$7+E57/2</f>
        <v>0.53849999999999998</v>
      </c>
      <c r="F46" s="194" t="s">
        <v>61</v>
      </c>
      <c r="G46" s="195"/>
      <c r="H46" s="51"/>
      <c r="I46" s="191"/>
      <c r="J46" s="194" t="s">
        <v>87</v>
      </c>
      <c r="K46" s="193"/>
      <c r="L46" s="196">
        <f>$E$7+L57/2</f>
        <v>0.54</v>
      </c>
      <c r="M46" s="194" t="s">
        <v>61</v>
      </c>
      <c r="N46" s="195"/>
      <c r="O46" s="51"/>
    </row>
    <row r="47" spans="1:15" ht="15" hidden="1" x14ac:dyDescent="0.25">
      <c r="A47" s="51"/>
      <c r="B47" s="191"/>
      <c r="C47" s="194" t="s">
        <v>86</v>
      </c>
      <c r="D47" s="193" t="s">
        <v>80</v>
      </c>
      <c r="E47" s="206">
        <f>$D$149*E46*E57</f>
        <v>1.3439344499999999</v>
      </c>
      <c r="F47" s="194"/>
      <c r="G47" s="195"/>
      <c r="H47" s="51"/>
      <c r="I47" s="191"/>
      <c r="J47" s="194" t="s">
        <v>86</v>
      </c>
      <c r="K47" s="193" t="s">
        <v>80</v>
      </c>
      <c r="L47" s="206">
        <f>$K$149*L46*L57</f>
        <v>1.37052</v>
      </c>
      <c r="M47" s="194"/>
      <c r="N47" s="195"/>
      <c r="O47" s="51"/>
    </row>
    <row r="48" spans="1:15" ht="15" hidden="1" x14ac:dyDescent="0.25">
      <c r="A48" s="51"/>
      <c r="B48" s="191"/>
      <c r="C48" s="194" t="s">
        <v>248</v>
      </c>
      <c r="D48" s="193"/>
      <c r="E48" s="378">
        <f>(2*E47+E49+E50)*TAN(E53)</f>
        <v>1.7499276828063373</v>
      </c>
      <c r="F48" s="194" t="s">
        <v>78</v>
      </c>
      <c r="G48" s="195"/>
      <c r="H48" s="51"/>
      <c r="I48" s="191"/>
      <c r="J48" s="194" t="s">
        <v>248</v>
      </c>
      <c r="K48" s="193"/>
      <c r="L48" s="206">
        <f>(2*L47+L50+L51)*TAN(L53)</f>
        <v>1.668864575249619</v>
      </c>
      <c r="M48" s="194" t="s">
        <v>78</v>
      </c>
      <c r="N48" s="195"/>
      <c r="O48" s="51"/>
    </row>
    <row r="49" spans="1:17" ht="15" hidden="1" x14ac:dyDescent="0.25">
      <c r="A49" s="51"/>
      <c r="B49" s="191"/>
      <c r="C49" s="194" t="s">
        <v>85</v>
      </c>
      <c r="D49" s="193" t="s">
        <v>79</v>
      </c>
      <c r="E49" s="206">
        <f>((($D$141*E57^2/4)-($D$141*(E57-E51)^2/4))*$D$151)+((($D$141*(E57-E51)^2/4)-($D$141*(E57-E51-E52)^2/4))*$D$153)</f>
        <v>0.25544289866338632</v>
      </c>
      <c r="F49" s="194" t="s">
        <v>78</v>
      </c>
      <c r="G49" s="195"/>
      <c r="H49" s="51"/>
      <c r="I49" s="191"/>
      <c r="J49" s="194" t="s">
        <v>247</v>
      </c>
      <c r="K49" s="193"/>
      <c r="L49" s="196">
        <f>VLOOKUP(L56,PolyID,2)/1000</f>
        <v>0.14599999999999999</v>
      </c>
      <c r="M49" s="194" t="s">
        <v>61</v>
      </c>
      <c r="N49" s="195"/>
      <c r="O49" s="51"/>
    </row>
    <row r="50" spans="1:17" ht="15" hidden="1" x14ac:dyDescent="0.25">
      <c r="A50" s="51"/>
      <c r="B50" s="191"/>
      <c r="C50" s="194" t="s">
        <v>84</v>
      </c>
      <c r="D50" s="193"/>
      <c r="E50" s="206">
        <f>$D$155*($D$141*(E57-E51-E52)^2/4)</f>
        <v>0.19359279329583695</v>
      </c>
      <c r="F50" s="194" t="s">
        <v>78</v>
      </c>
      <c r="G50" s="195"/>
      <c r="H50" s="51"/>
      <c r="I50" s="191"/>
      <c r="J50" s="194" t="s">
        <v>85</v>
      </c>
      <c r="K50" s="193" t="s">
        <v>79</v>
      </c>
      <c r="L50" s="206">
        <f>((($K$141*L57^2/4)-($K$141*(L49)^2/4))*$K$151)</f>
        <v>8.3136123471579365E-2</v>
      </c>
      <c r="M50" s="194" t="s">
        <v>78</v>
      </c>
      <c r="N50" s="195"/>
      <c r="O50" s="51"/>
    </row>
    <row r="51" spans="1:17" ht="15" hidden="1" x14ac:dyDescent="0.25">
      <c r="A51" s="51"/>
      <c r="B51" s="191"/>
      <c r="C51" s="194" t="s">
        <v>83</v>
      </c>
      <c r="D51" s="193"/>
      <c r="E51" s="196">
        <f>$D$163*2</f>
        <v>0.01</v>
      </c>
      <c r="F51" s="194" t="s">
        <v>61</v>
      </c>
      <c r="G51" s="195"/>
      <c r="H51" s="51"/>
      <c r="I51" s="191"/>
      <c r="J51" s="194" t="s">
        <v>84</v>
      </c>
      <c r="K51" s="193"/>
      <c r="L51" s="206">
        <f>$D$155*($D$141*(L49)^2/4)</f>
        <v>0.16741547250980007</v>
      </c>
      <c r="M51" s="194" t="s">
        <v>78</v>
      </c>
      <c r="N51" s="195"/>
      <c r="O51" s="51"/>
    </row>
    <row r="52" spans="1:17" ht="15" hidden="1" x14ac:dyDescent="0.25">
      <c r="A52" s="51"/>
      <c r="B52" s="191"/>
      <c r="C52" s="194" t="s">
        <v>82</v>
      </c>
      <c r="D52" s="193"/>
      <c r="E52" s="196">
        <f>$D$165*2</f>
        <v>0.01</v>
      </c>
      <c r="F52" s="194" t="s">
        <v>61</v>
      </c>
      <c r="G52" s="195"/>
      <c r="H52" s="51"/>
      <c r="I52" s="191"/>
      <c r="J52" s="194"/>
      <c r="K52" s="193"/>
      <c r="L52" s="196"/>
      <c r="M52" s="194"/>
      <c r="N52" s="195"/>
      <c r="O52" s="51"/>
    </row>
    <row r="53" spans="1:17" ht="15" hidden="1" x14ac:dyDescent="0.25">
      <c r="A53" s="51"/>
      <c r="B53" s="191"/>
      <c r="C53" s="194" t="s">
        <v>81</v>
      </c>
      <c r="D53" s="193" t="s">
        <v>77</v>
      </c>
      <c r="E53" s="211">
        <f>$D$157*$D$159</f>
        <v>22.5</v>
      </c>
      <c r="F53" s="194" t="s">
        <v>66</v>
      </c>
      <c r="G53" s="195"/>
      <c r="H53" s="51"/>
      <c r="I53" s="191"/>
      <c r="J53" s="194" t="s">
        <v>81</v>
      </c>
      <c r="K53" s="193" t="s">
        <v>77</v>
      </c>
      <c r="L53" s="211">
        <f>$K$157*$K$159</f>
        <v>22.5</v>
      </c>
      <c r="M53" s="194" t="s">
        <v>66</v>
      </c>
      <c r="N53" s="195"/>
      <c r="O53" s="51"/>
    </row>
    <row r="54" spans="1:17" ht="15" hidden="1" x14ac:dyDescent="0.25">
      <c r="A54" s="51"/>
      <c r="B54" s="191"/>
      <c r="C54" s="194"/>
      <c r="D54" s="193" t="s">
        <v>243</v>
      </c>
      <c r="E54" s="206">
        <f>D143*E4*E58</f>
        <v>59.053773746588767</v>
      </c>
      <c r="F54" s="194" t="s">
        <v>209</v>
      </c>
      <c r="G54" s="195"/>
      <c r="H54" s="51"/>
      <c r="I54" s="191"/>
      <c r="J54" s="194"/>
      <c r="K54" s="193" t="s">
        <v>243</v>
      </c>
      <c r="L54" s="211">
        <f>K143*L4*L58</f>
        <v>61.072561185785574</v>
      </c>
      <c r="M54" s="194" t="s">
        <v>209</v>
      </c>
      <c r="N54" s="195"/>
      <c r="O54" s="51"/>
    </row>
    <row r="55" spans="1:17" ht="15" hidden="1" x14ac:dyDescent="0.25">
      <c r="A55" s="51"/>
      <c r="B55" s="191"/>
      <c r="C55" s="194"/>
      <c r="D55" s="193" t="s">
        <v>245</v>
      </c>
      <c r="E55" s="206">
        <f>E48</f>
        <v>1.7499276828063373</v>
      </c>
      <c r="F55" s="194" t="s">
        <v>78</v>
      </c>
      <c r="G55" s="195"/>
      <c r="H55" s="51"/>
      <c r="I55" s="191"/>
      <c r="J55" s="194"/>
      <c r="K55" s="193" t="s">
        <v>245</v>
      </c>
      <c r="L55" s="206">
        <f>L48</f>
        <v>1.668864575249619</v>
      </c>
      <c r="M55" s="194" t="s">
        <v>78</v>
      </c>
      <c r="N55" s="195"/>
      <c r="O55" s="51"/>
      <c r="Q55" s="187" t="s">
        <v>244</v>
      </c>
    </row>
    <row r="56" spans="1:17" ht="15" x14ac:dyDescent="0.25">
      <c r="A56" s="51"/>
      <c r="B56" s="191"/>
      <c r="C56" s="192"/>
      <c r="D56" s="193" t="s">
        <v>240</v>
      </c>
      <c r="E56" s="162">
        <v>150</v>
      </c>
      <c r="F56" s="194"/>
      <c r="G56" s="195"/>
      <c r="H56" s="51"/>
      <c r="I56" s="191"/>
      <c r="J56" s="192"/>
      <c r="K56" s="193" t="s">
        <v>250</v>
      </c>
      <c r="L56" s="162">
        <v>180</v>
      </c>
      <c r="M56" s="194" t="s">
        <v>91</v>
      </c>
      <c r="N56" s="195"/>
      <c r="O56" s="51"/>
    </row>
    <row r="57" spans="1:17" ht="15" hidden="1" x14ac:dyDescent="0.25">
      <c r="A57" s="51"/>
      <c r="B57" s="191"/>
      <c r="C57" s="194" t="s">
        <v>99</v>
      </c>
      <c r="D57" s="193"/>
      <c r="E57" s="205">
        <f>VLOOKUP(E56,PipeSizes,2)/1000</f>
        <v>0.17699999999999999</v>
      </c>
      <c r="F57" s="194" t="s">
        <v>61</v>
      </c>
      <c r="G57" s="195"/>
      <c r="H57" s="51"/>
      <c r="I57" s="191"/>
      <c r="J57" s="194" t="s">
        <v>99</v>
      </c>
      <c r="K57" s="193"/>
      <c r="L57" s="212">
        <f>L56/1000</f>
        <v>0.18</v>
      </c>
      <c r="M57" s="194" t="s">
        <v>61</v>
      </c>
      <c r="N57" s="195"/>
      <c r="O57" s="51"/>
    </row>
    <row r="58" spans="1:17" ht="15" hidden="1" x14ac:dyDescent="0.25">
      <c r="A58" s="51"/>
      <c r="B58" s="191"/>
      <c r="C58" s="194" t="s">
        <v>97</v>
      </c>
      <c r="D58" s="193" t="s">
        <v>96</v>
      </c>
      <c r="E58" s="197">
        <f>PI()*E57^2/4</f>
        <v>2.4605739061078654E-2</v>
      </c>
      <c r="F58" s="194" t="s">
        <v>95</v>
      </c>
      <c r="G58" s="195"/>
      <c r="H58" s="51"/>
      <c r="I58" s="191"/>
      <c r="J58" s="194" t="s">
        <v>97</v>
      </c>
      <c r="K58" s="193" t="s">
        <v>96</v>
      </c>
      <c r="L58" s="197">
        <f>PI()*L57^2/4</f>
        <v>2.5446900494077322E-2</v>
      </c>
      <c r="M58" s="194" t="s">
        <v>95</v>
      </c>
      <c r="N58" s="195"/>
      <c r="O58" s="51"/>
    </row>
    <row r="59" spans="1:17" ht="15" x14ac:dyDescent="0.25">
      <c r="A59" s="51"/>
      <c r="B59" s="191"/>
      <c r="C59" s="194"/>
      <c r="D59" s="193"/>
      <c r="E59" s="194"/>
      <c r="F59" s="194"/>
      <c r="G59" s="195"/>
      <c r="H59" s="51"/>
      <c r="I59" s="191"/>
      <c r="J59" s="194"/>
      <c r="K59" s="193"/>
      <c r="L59" s="194"/>
      <c r="M59" s="194"/>
      <c r="N59" s="195"/>
      <c r="O59" s="51"/>
    </row>
    <row r="60" spans="1:17" ht="15" x14ac:dyDescent="0.25">
      <c r="A60" s="51"/>
      <c r="B60" s="191"/>
      <c r="C60" s="194"/>
      <c r="D60" s="193" t="s">
        <v>136</v>
      </c>
      <c r="E60" s="209">
        <f>E54/E55</f>
        <v>33.74640810978255</v>
      </c>
      <c r="F60" s="194" t="s">
        <v>61</v>
      </c>
      <c r="G60" s="195"/>
      <c r="H60" s="51"/>
      <c r="I60" s="191"/>
      <c r="J60" s="194"/>
      <c r="K60" s="193" t="s">
        <v>136</v>
      </c>
      <c r="L60" s="209">
        <f>L54/L55</f>
        <v>36.595276867597661</v>
      </c>
      <c r="M60" s="194" t="s">
        <v>61</v>
      </c>
      <c r="N60" s="195"/>
      <c r="O60" s="51"/>
    </row>
    <row r="61" spans="1:17" ht="15.75" thickBot="1" x14ac:dyDescent="0.3">
      <c r="A61" s="51"/>
      <c r="B61" s="199"/>
      <c r="C61" s="200"/>
      <c r="D61" s="201"/>
      <c r="E61" s="200"/>
      <c r="F61" s="200"/>
      <c r="G61" s="203"/>
      <c r="H61" s="51"/>
      <c r="I61" s="199"/>
      <c r="J61" s="200"/>
      <c r="K61" s="201"/>
      <c r="L61" s="200"/>
      <c r="M61" s="200"/>
      <c r="N61" s="203"/>
      <c r="O61" s="51"/>
    </row>
    <row r="62" spans="1:17" ht="15.75" thickBot="1" x14ac:dyDescent="0.3">
      <c r="A62" s="51"/>
      <c r="B62" s="51"/>
      <c r="C62" s="51"/>
      <c r="D62" s="51"/>
      <c r="E62" s="51"/>
      <c r="F62" s="51"/>
      <c r="G62" s="51"/>
      <c r="H62" s="51"/>
      <c r="I62" s="51"/>
      <c r="J62" s="51"/>
      <c r="K62" s="51"/>
      <c r="L62" s="51"/>
      <c r="M62" s="51"/>
      <c r="N62" s="51"/>
      <c r="O62" s="51"/>
    </row>
    <row r="63" spans="1:17" ht="15" x14ac:dyDescent="0.25">
      <c r="A63" s="51"/>
      <c r="B63" s="154" t="s">
        <v>139</v>
      </c>
      <c r="C63" s="188"/>
      <c r="D63" s="189"/>
      <c r="E63" s="188"/>
      <c r="F63" s="188"/>
      <c r="G63" s="190"/>
      <c r="H63" s="51"/>
      <c r="I63" s="154" t="s">
        <v>139</v>
      </c>
      <c r="J63" s="188"/>
      <c r="K63" s="189"/>
      <c r="L63" s="188"/>
      <c r="M63" s="188"/>
      <c r="N63" s="190"/>
      <c r="O63" s="51"/>
    </row>
    <row r="64" spans="1:17" ht="15" x14ac:dyDescent="0.25">
      <c r="A64" s="51"/>
      <c r="B64" s="385" t="s">
        <v>264</v>
      </c>
      <c r="C64" s="194"/>
      <c r="D64" s="193"/>
      <c r="E64" s="213"/>
      <c r="F64" s="194"/>
      <c r="G64" s="195"/>
      <c r="H64" s="51"/>
      <c r="I64" s="385" t="s">
        <v>265</v>
      </c>
      <c r="J64" s="194"/>
      <c r="K64" s="193"/>
      <c r="L64" s="213"/>
      <c r="M64" s="194"/>
      <c r="N64" s="195"/>
      <c r="O64" s="51"/>
    </row>
    <row r="65" spans="1:15" ht="15" x14ac:dyDescent="0.25">
      <c r="A65" s="51"/>
      <c r="B65" s="191"/>
      <c r="C65" s="194"/>
      <c r="D65" s="193"/>
      <c r="E65" s="206"/>
      <c r="F65" s="194"/>
      <c r="G65" s="195"/>
      <c r="H65" s="51"/>
      <c r="I65" s="191"/>
      <c r="J65" s="194"/>
      <c r="K65" s="193"/>
      <c r="L65" s="206"/>
      <c r="M65" s="194"/>
      <c r="N65" s="195"/>
      <c r="O65" s="51"/>
    </row>
    <row r="66" spans="1:15" ht="15" x14ac:dyDescent="0.25">
      <c r="A66" s="51"/>
      <c r="B66" s="191"/>
      <c r="C66" s="192"/>
      <c r="D66" s="193" t="s">
        <v>251</v>
      </c>
      <c r="E66" s="380">
        <v>100</v>
      </c>
      <c r="F66" s="194"/>
      <c r="G66" s="195"/>
      <c r="H66" s="51"/>
      <c r="I66" s="191"/>
      <c r="J66" s="192"/>
      <c r="K66" s="193" t="s">
        <v>252</v>
      </c>
      <c r="L66" s="380">
        <v>125</v>
      </c>
      <c r="M66" s="194" t="s">
        <v>91</v>
      </c>
      <c r="N66" s="195"/>
      <c r="O66" s="51"/>
    </row>
    <row r="67" spans="1:15" ht="15" hidden="1" x14ac:dyDescent="0.25">
      <c r="A67" s="51"/>
      <c r="B67" s="191"/>
      <c r="C67" s="194" t="s">
        <v>98</v>
      </c>
      <c r="D67" s="193"/>
      <c r="E67" s="379">
        <f>VLOOKUP(E66,PipeSizes,2)/1000</f>
        <v>0.122</v>
      </c>
      <c r="F67" s="194" t="s">
        <v>61</v>
      </c>
      <c r="G67" s="195"/>
      <c r="H67" s="51"/>
      <c r="I67" s="191"/>
      <c r="J67" s="194" t="s">
        <v>98</v>
      </c>
      <c r="K67" s="193"/>
      <c r="L67" s="379">
        <f>L66/1000</f>
        <v>0.125</v>
      </c>
      <c r="M67" s="194" t="s">
        <v>61</v>
      </c>
      <c r="N67" s="195"/>
      <c r="O67" s="51"/>
    </row>
    <row r="68" spans="1:15" ht="15" x14ac:dyDescent="0.25">
      <c r="A68" s="51"/>
      <c r="B68" s="191"/>
      <c r="C68" s="194"/>
      <c r="D68" s="193"/>
      <c r="E68" s="193"/>
      <c r="F68" s="194"/>
      <c r="G68" s="195"/>
      <c r="H68" s="51"/>
      <c r="I68" s="191"/>
      <c r="J68" s="194"/>
      <c r="K68" s="193"/>
      <c r="L68" s="193"/>
      <c r="M68" s="194"/>
      <c r="N68" s="195"/>
      <c r="O68" s="51"/>
    </row>
    <row r="69" spans="1:15" ht="15" x14ac:dyDescent="0.25">
      <c r="A69" s="51"/>
      <c r="B69" s="191"/>
      <c r="C69" s="192"/>
      <c r="D69" s="193" t="s">
        <v>253</v>
      </c>
      <c r="E69" s="380">
        <v>10</v>
      </c>
      <c r="F69" s="194" t="s">
        <v>61</v>
      </c>
      <c r="G69" s="195"/>
      <c r="H69" s="51"/>
      <c r="I69" s="191"/>
      <c r="J69" s="192"/>
      <c r="K69" s="193" t="s">
        <v>239</v>
      </c>
      <c r="L69" s="380">
        <v>10</v>
      </c>
      <c r="M69" s="194" t="s">
        <v>61</v>
      </c>
      <c r="N69" s="195"/>
      <c r="O69" s="51"/>
    </row>
    <row r="70" spans="1:15" ht="15" hidden="1" x14ac:dyDescent="0.25">
      <c r="A70" s="51"/>
      <c r="B70" s="191"/>
      <c r="C70" s="194" t="s">
        <v>87</v>
      </c>
      <c r="D70" s="193"/>
      <c r="E70" s="379">
        <f>$E$7+E67/2</f>
        <v>0.51100000000000001</v>
      </c>
      <c r="F70" s="194" t="s">
        <v>61</v>
      </c>
      <c r="G70" s="195"/>
      <c r="H70" s="51"/>
      <c r="I70" s="191"/>
      <c r="J70" s="194" t="s">
        <v>87</v>
      </c>
      <c r="K70" s="193"/>
      <c r="L70" s="381">
        <f>$L$7+L67/2</f>
        <v>0.51249999999999996</v>
      </c>
      <c r="M70" s="194" t="s">
        <v>61</v>
      </c>
      <c r="N70" s="195"/>
      <c r="O70" s="51"/>
    </row>
    <row r="71" spans="1:15" ht="15" hidden="1" x14ac:dyDescent="0.25">
      <c r="A71" s="51"/>
      <c r="B71" s="191"/>
      <c r="C71" s="194"/>
      <c r="D71" s="383"/>
      <c r="E71" s="384">
        <f>$D$149*E70*$E$9</f>
        <v>21.615299999999987</v>
      </c>
      <c r="F71" s="194"/>
      <c r="G71" s="195"/>
      <c r="H71" s="51"/>
      <c r="I71" s="191"/>
      <c r="J71" s="194"/>
      <c r="K71" s="193"/>
      <c r="L71" s="384">
        <f>$D$149*L70*$E$9</f>
        <v>21.678749999999987</v>
      </c>
      <c r="M71" s="194"/>
      <c r="N71" s="195"/>
      <c r="O71" s="51"/>
    </row>
    <row r="72" spans="1:15" ht="15" hidden="1" x14ac:dyDescent="0.25">
      <c r="A72" s="51"/>
      <c r="B72" s="191"/>
      <c r="C72" s="194"/>
      <c r="D72" s="193"/>
      <c r="E72" s="379"/>
      <c r="F72" s="194"/>
      <c r="G72" s="195"/>
      <c r="H72" s="51"/>
      <c r="I72" s="191"/>
      <c r="J72" s="194"/>
      <c r="K72" s="193"/>
      <c r="L72" s="379"/>
      <c r="M72" s="194"/>
      <c r="N72" s="195"/>
      <c r="O72" s="51"/>
    </row>
    <row r="73" spans="1:15" ht="15" hidden="1" x14ac:dyDescent="0.25">
      <c r="A73" s="51"/>
      <c r="B73" s="191"/>
      <c r="C73" s="194" t="s">
        <v>258</v>
      </c>
      <c r="D73" s="193"/>
      <c r="E73" s="382">
        <f>D143*E4*E78-(D161*E71*E67*E69)/2</f>
        <v>15.529612683618295</v>
      </c>
      <c r="F73" s="194" t="s">
        <v>209</v>
      </c>
      <c r="G73" s="195"/>
      <c r="H73" s="51"/>
      <c r="I73" s="191"/>
      <c r="J73" s="194" t="s">
        <v>258</v>
      </c>
      <c r="K73" s="193"/>
      <c r="L73" s="382">
        <f>K143*L4*L78-(K161*L71*L67*L69)/2</f>
        <v>16.580673314904317</v>
      </c>
      <c r="M73" s="194" t="s">
        <v>209</v>
      </c>
      <c r="N73" s="195"/>
      <c r="O73" s="51"/>
    </row>
    <row r="74" spans="1:15" ht="15" hidden="1" x14ac:dyDescent="0.25">
      <c r="A74" s="51"/>
      <c r="B74" s="191"/>
      <c r="C74" s="194"/>
      <c r="D74" s="193"/>
      <c r="E74" s="379"/>
      <c r="F74" s="194"/>
      <c r="G74" s="195"/>
      <c r="H74" s="51"/>
      <c r="I74" s="191"/>
      <c r="J74" s="194"/>
      <c r="K74" s="193"/>
      <c r="L74" s="379"/>
      <c r="M74" s="194"/>
      <c r="N74" s="195"/>
      <c r="O74" s="51"/>
    </row>
    <row r="75" spans="1:15" ht="15" x14ac:dyDescent="0.25">
      <c r="A75" s="51"/>
      <c r="B75" s="191"/>
      <c r="C75" s="194"/>
      <c r="D75" s="193"/>
      <c r="E75" s="193"/>
      <c r="F75" s="194"/>
      <c r="G75" s="195"/>
      <c r="H75" s="51"/>
      <c r="I75" s="191"/>
      <c r="J75" s="194"/>
      <c r="K75" s="193"/>
      <c r="L75" s="193"/>
      <c r="M75" s="194"/>
      <c r="N75" s="195"/>
      <c r="O75" s="51"/>
    </row>
    <row r="76" spans="1:15" ht="15" x14ac:dyDescent="0.25">
      <c r="A76" s="51"/>
      <c r="B76" s="191"/>
      <c r="C76" s="192"/>
      <c r="D76" s="193" t="s">
        <v>254</v>
      </c>
      <c r="E76" s="162">
        <v>100</v>
      </c>
      <c r="F76" s="194"/>
      <c r="G76" s="195"/>
      <c r="H76" s="51"/>
      <c r="I76" s="191"/>
      <c r="J76" s="192"/>
      <c r="K76" s="193" t="s">
        <v>255</v>
      </c>
      <c r="L76" s="162">
        <v>125</v>
      </c>
      <c r="M76" s="194" t="s">
        <v>91</v>
      </c>
      <c r="N76" s="195"/>
      <c r="O76" s="51"/>
    </row>
    <row r="77" spans="1:15" ht="15" hidden="1" x14ac:dyDescent="0.25">
      <c r="A77" s="51"/>
      <c r="B77" s="191"/>
      <c r="C77" s="194"/>
      <c r="D77" s="193" t="s">
        <v>254</v>
      </c>
      <c r="E77" s="205">
        <f>VLOOKUP(E76,PipeSizes,2)/1000</f>
        <v>0.122</v>
      </c>
      <c r="F77" s="194" t="s">
        <v>61</v>
      </c>
      <c r="G77" s="195"/>
      <c r="H77" s="51"/>
      <c r="I77" s="191"/>
      <c r="J77" s="194"/>
      <c r="K77" s="193" t="s">
        <v>255</v>
      </c>
      <c r="L77" s="212">
        <f>L76/1000</f>
        <v>0.125</v>
      </c>
      <c r="M77" s="194" t="s">
        <v>61</v>
      </c>
      <c r="N77" s="195"/>
      <c r="O77" s="51"/>
    </row>
    <row r="78" spans="1:15" ht="15" hidden="1" x14ac:dyDescent="0.25">
      <c r="A78" s="51"/>
      <c r="B78" s="191"/>
      <c r="C78" s="194" t="s">
        <v>97</v>
      </c>
      <c r="D78" s="193" t="s">
        <v>256</v>
      </c>
      <c r="E78" s="197">
        <f>PI()*E77^2/4</f>
        <v>1.168986626400762E-2</v>
      </c>
      <c r="F78" s="194" t="s">
        <v>95</v>
      </c>
      <c r="G78" s="195"/>
      <c r="H78" s="51"/>
      <c r="I78" s="191"/>
      <c r="J78" s="194" t="s">
        <v>97</v>
      </c>
      <c r="K78" s="193" t="s">
        <v>256</v>
      </c>
      <c r="L78" s="197">
        <f>PI()*L77^2/4</f>
        <v>1.2271846303085129E-2</v>
      </c>
      <c r="M78" s="194" t="s">
        <v>95</v>
      </c>
      <c r="N78" s="195"/>
      <c r="O78" s="51"/>
    </row>
    <row r="79" spans="1:15" ht="15" hidden="1" x14ac:dyDescent="0.25">
      <c r="A79" s="51"/>
      <c r="B79" s="191"/>
      <c r="C79" s="193"/>
      <c r="D79" s="193" t="s">
        <v>257</v>
      </c>
      <c r="E79" s="382">
        <f>(2*E81+E82+E83)*TAN(E86)</f>
        <v>1.1225438999817257</v>
      </c>
      <c r="F79" s="194" t="s">
        <v>78</v>
      </c>
      <c r="G79" s="195"/>
      <c r="H79" s="51"/>
      <c r="I79" s="191"/>
      <c r="J79" s="193"/>
      <c r="K79" s="193" t="s">
        <v>257</v>
      </c>
      <c r="L79" s="382">
        <f>(2*L81+L82+L83)*TAN(L86)</f>
        <v>1.0751833392323051</v>
      </c>
      <c r="M79" s="194" t="s">
        <v>78</v>
      </c>
      <c r="N79" s="195"/>
      <c r="O79" s="51"/>
    </row>
    <row r="80" spans="1:15" ht="15" hidden="1" x14ac:dyDescent="0.25">
      <c r="A80" s="51"/>
      <c r="B80" s="191"/>
      <c r="C80" s="194" t="s">
        <v>87</v>
      </c>
      <c r="D80" s="193"/>
      <c r="E80" s="382">
        <f>$E$7+E77/2</f>
        <v>0.51100000000000001</v>
      </c>
      <c r="F80" s="194" t="s">
        <v>61</v>
      </c>
      <c r="G80" s="195"/>
      <c r="H80" s="51"/>
      <c r="I80" s="191"/>
      <c r="J80" s="194" t="s">
        <v>87</v>
      </c>
      <c r="K80" s="193"/>
      <c r="L80" s="379">
        <f>$E$7+L77/2</f>
        <v>0.51249999999999996</v>
      </c>
      <c r="M80" s="194" t="s">
        <v>61</v>
      </c>
      <c r="N80" s="195"/>
      <c r="O80" s="51"/>
    </row>
    <row r="81" spans="1:15" ht="15" hidden="1" x14ac:dyDescent="0.25">
      <c r="A81" s="51"/>
      <c r="B81" s="191"/>
      <c r="C81" s="194" t="s">
        <v>86</v>
      </c>
      <c r="D81" s="193" t="s">
        <v>80</v>
      </c>
      <c r="E81" s="382">
        <f>$D$149*E80*E77</f>
        <v>0.87902219999999998</v>
      </c>
      <c r="F81" s="194"/>
      <c r="G81" s="195"/>
      <c r="H81" s="51"/>
      <c r="I81" s="191"/>
      <c r="J81" s="194" t="s">
        <v>86</v>
      </c>
      <c r="K81" s="193" t="s">
        <v>80</v>
      </c>
      <c r="L81" s="382">
        <f>$D$149*L80*L77</f>
        <v>0.90328124999999992</v>
      </c>
      <c r="M81" s="194"/>
      <c r="N81" s="195"/>
      <c r="O81" s="51"/>
    </row>
    <row r="82" spans="1:15" ht="15" hidden="1" x14ac:dyDescent="0.25">
      <c r="A82" s="51"/>
      <c r="B82" s="191"/>
      <c r="C82" s="194" t="s">
        <v>85</v>
      </c>
      <c r="D82" s="193" t="s">
        <v>79</v>
      </c>
      <c r="E82" s="382">
        <f>((($D$141*E77^2/4)-($D$141*(E77-E84)^2/4))*$D$151)+((($D$141*(E77-E84)^2/4)-($D$141*(E77-E84-E85)^2/4))*$D$153)</f>
        <v>0.17250485260861539</v>
      </c>
      <c r="F82" s="194" t="s">
        <v>78</v>
      </c>
      <c r="G82" s="195"/>
      <c r="H82" s="51"/>
      <c r="I82" s="191"/>
      <c r="J82" s="194" t="s">
        <v>85</v>
      </c>
      <c r="K82" s="193" t="s">
        <v>79</v>
      </c>
      <c r="L82" s="382">
        <f>(K141*L77^2/4-K141*L84^2/4)*K151</f>
        <v>4.0682996545457095E-2</v>
      </c>
      <c r="M82" s="194" t="s">
        <v>78</v>
      </c>
      <c r="N82" s="195"/>
      <c r="O82" s="51"/>
    </row>
    <row r="83" spans="1:15" ht="15" hidden="1" x14ac:dyDescent="0.25">
      <c r="A83" s="51"/>
      <c r="B83" s="191"/>
      <c r="C83" s="194" t="s">
        <v>84</v>
      </c>
      <c r="D83" s="193"/>
      <c r="E83" s="382">
        <f>$D$155*($D$141*(E77-E84-E85)^2/4)</f>
        <v>8.171282491987053E-2</v>
      </c>
      <c r="F83" s="194" t="s">
        <v>78</v>
      </c>
      <c r="G83" s="195"/>
      <c r="H83" s="51"/>
      <c r="I83" s="191"/>
      <c r="J83" s="194" t="s">
        <v>84</v>
      </c>
      <c r="K83" s="193"/>
      <c r="L83" s="382">
        <f>$D$155*($D$141*L84^2/4)</f>
        <v>8.0118466648173708E-2</v>
      </c>
      <c r="M83" s="194" t="s">
        <v>78</v>
      </c>
      <c r="N83" s="195"/>
      <c r="O83" s="51"/>
    </row>
    <row r="84" spans="1:15" ht="15" hidden="1" x14ac:dyDescent="0.25">
      <c r="A84" s="51"/>
      <c r="B84" s="191"/>
      <c r="C84" s="194" t="s">
        <v>83</v>
      </c>
      <c r="D84" s="193"/>
      <c r="E84" s="379">
        <f>$D$163*2</f>
        <v>0.01</v>
      </c>
      <c r="F84" s="194" t="s">
        <v>61</v>
      </c>
      <c r="G84" s="195"/>
      <c r="H84" s="51"/>
      <c r="I84" s="191"/>
      <c r="J84" s="194" t="s">
        <v>247</v>
      </c>
      <c r="K84" s="193"/>
      <c r="L84" s="196">
        <f>VLOOKUP(L76,PolyID,2)/1000</f>
        <v>0.10100000000000001</v>
      </c>
      <c r="M84" s="194" t="s">
        <v>61</v>
      </c>
      <c r="N84" s="195"/>
      <c r="O84" s="51"/>
    </row>
    <row r="85" spans="1:15" ht="15" hidden="1" x14ac:dyDescent="0.25">
      <c r="A85" s="51"/>
      <c r="B85" s="191"/>
      <c r="C85" s="194" t="s">
        <v>82</v>
      </c>
      <c r="D85" s="193"/>
      <c r="E85" s="379">
        <f>$D$165*2</f>
        <v>0.01</v>
      </c>
      <c r="F85" s="194" t="s">
        <v>61</v>
      </c>
      <c r="G85" s="195"/>
      <c r="H85" s="51"/>
      <c r="I85" s="191"/>
      <c r="J85" s="194"/>
      <c r="K85" s="193"/>
      <c r="L85" s="379"/>
      <c r="M85" s="194"/>
      <c r="N85" s="195"/>
      <c r="O85" s="51"/>
    </row>
    <row r="86" spans="1:15" ht="15" hidden="1" x14ac:dyDescent="0.25">
      <c r="A86" s="51"/>
      <c r="B86" s="191"/>
      <c r="C86" s="194" t="s">
        <v>81</v>
      </c>
      <c r="D86" s="193" t="s">
        <v>77</v>
      </c>
      <c r="E86" s="379">
        <f>$D$157*$D$159</f>
        <v>22.5</v>
      </c>
      <c r="F86" s="194" t="s">
        <v>66</v>
      </c>
      <c r="G86" s="195"/>
      <c r="H86" s="51"/>
      <c r="I86" s="191"/>
      <c r="J86" s="194" t="s">
        <v>81</v>
      </c>
      <c r="K86" s="193" t="s">
        <v>77</v>
      </c>
      <c r="L86" s="379">
        <f>$D$157*$D$159</f>
        <v>22.5</v>
      </c>
      <c r="M86" s="194" t="s">
        <v>66</v>
      </c>
      <c r="N86" s="195"/>
      <c r="O86" s="51"/>
    </row>
    <row r="87" spans="1:15" ht="15" hidden="1" x14ac:dyDescent="0.25">
      <c r="A87" s="51"/>
      <c r="B87" s="191"/>
      <c r="C87" s="194"/>
      <c r="D87" s="193"/>
      <c r="E87" s="379"/>
      <c r="F87" s="194"/>
      <c r="G87" s="195"/>
      <c r="H87" s="51"/>
      <c r="I87" s="191"/>
      <c r="J87" s="194"/>
      <c r="K87" s="193"/>
      <c r="L87" s="379"/>
      <c r="M87" s="194"/>
      <c r="N87" s="195"/>
      <c r="O87" s="51"/>
    </row>
    <row r="88" spans="1:15" ht="15" hidden="1" x14ac:dyDescent="0.25">
      <c r="A88" s="51"/>
      <c r="B88" s="191"/>
      <c r="C88" s="194"/>
      <c r="D88" s="193" t="s">
        <v>257</v>
      </c>
      <c r="E88" s="382">
        <f>E79</f>
        <v>1.1225438999817257</v>
      </c>
      <c r="F88" s="194" t="s">
        <v>78</v>
      </c>
      <c r="G88" s="195"/>
      <c r="H88" s="51"/>
      <c r="I88" s="191"/>
      <c r="J88" s="194"/>
      <c r="K88" s="193" t="s">
        <v>257</v>
      </c>
      <c r="L88" s="382">
        <f>L79</f>
        <v>1.0751833392323051</v>
      </c>
      <c r="M88" s="194" t="s">
        <v>78</v>
      </c>
      <c r="N88" s="195"/>
      <c r="O88" s="51"/>
    </row>
    <row r="89" spans="1:15" ht="15" x14ac:dyDescent="0.25">
      <c r="A89" s="51"/>
      <c r="B89" s="191"/>
      <c r="C89" s="194"/>
      <c r="D89" s="193"/>
      <c r="E89" s="194"/>
      <c r="F89" s="194"/>
      <c r="G89" s="195"/>
      <c r="H89" s="51"/>
      <c r="I89" s="191"/>
      <c r="J89" s="194"/>
      <c r="K89" s="193"/>
      <c r="L89" s="194"/>
      <c r="M89" s="194"/>
      <c r="N89" s="195"/>
      <c r="O89" s="51"/>
    </row>
    <row r="90" spans="1:15" ht="15" x14ac:dyDescent="0.25">
      <c r="A90" s="51"/>
      <c r="B90" s="191"/>
      <c r="C90" s="194"/>
      <c r="D90" s="193" t="s">
        <v>135</v>
      </c>
      <c r="E90" s="209">
        <f>E73/E88</f>
        <v>13.834303214218266</v>
      </c>
      <c r="F90" s="194" t="s">
        <v>61</v>
      </c>
      <c r="G90" s="195"/>
      <c r="H90" s="51"/>
      <c r="I90" s="191"/>
      <c r="J90" s="194"/>
      <c r="K90" s="193" t="s">
        <v>135</v>
      </c>
      <c r="L90" s="209">
        <f>L73/L88</f>
        <v>15.421252087800331</v>
      </c>
      <c r="M90" s="194" t="s">
        <v>61</v>
      </c>
      <c r="N90" s="195"/>
      <c r="O90" s="51"/>
    </row>
    <row r="91" spans="1:15" s="214" customFormat="1" ht="15" x14ac:dyDescent="0.25">
      <c r="A91" s="51"/>
      <c r="B91" s="191"/>
      <c r="C91" s="192"/>
      <c r="E91" s="193" t="s">
        <v>94</v>
      </c>
      <c r="F91" s="194"/>
      <c r="G91" s="195"/>
      <c r="H91" s="51"/>
      <c r="I91" s="191"/>
      <c r="J91" s="192"/>
      <c r="L91" s="193" t="s">
        <v>94</v>
      </c>
      <c r="M91" s="194"/>
      <c r="N91" s="195"/>
      <c r="O91" s="51"/>
    </row>
    <row r="92" spans="1:15" s="214" customFormat="1" ht="15" hidden="1" x14ac:dyDescent="0.25">
      <c r="A92" s="51"/>
      <c r="B92" s="191"/>
      <c r="C92" s="194"/>
      <c r="D92" s="193"/>
      <c r="E92" s="210"/>
      <c r="F92" s="194"/>
      <c r="G92" s="195"/>
      <c r="H92" s="51"/>
      <c r="I92" s="191"/>
      <c r="J92" s="194"/>
      <c r="K92" s="193"/>
      <c r="L92" s="210"/>
      <c r="M92" s="194"/>
      <c r="N92" s="195"/>
      <c r="O92" s="51"/>
    </row>
    <row r="93" spans="1:15" s="214" customFormat="1" ht="15" hidden="1" x14ac:dyDescent="0.25">
      <c r="A93" s="51"/>
      <c r="B93" s="191"/>
      <c r="C93" s="194"/>
      <c r="D93" s="193"/>
      <c r="E93" s="210"/>
      <c r="F93" s="194"/>
      <c r="G93" s="195"/>
      <c r="H93" s="51"/>
      <c r="I93" s="191"/>
      <c r="J93" s="194"/>
      <c r="K93" s="193"/>
      <c r="L93" s="210"/>
      <c r="M93" s="194"/>
      <c r="N93" s="195"/>
      <c r="O93" s="51"/>
    </row>
    <row r="94" spans="1:15" s="214" customFormat="1" ht="15" hidden="1" x14ac:dyDescent="0.25">
      <c r="A94" s="51"/>
      <c r="B94" s="191"/>
      <c r="C94" s="194"/>
      <c r="D94" s="193"/>
      <c r="E94" s="210"/>
      <c r="F94" s="194"/>
      <c r="G94" s="195"/>
      <c r="H94" s="51"/>
      <c r="I94" s="191"/>
      <c r="J94" s="194"/>
      <c r="K94" s="193"/>
      <c r="L94" s="210"/>
      <c r="M94" s="194"/>
      <c r="N94" s="195"/>
      <c r="O94" s="51"/>
    </row>
    <row r="95" spans="1:15" s="214" customFormat="1" ht="15" hidden="1" x14ac:dyDescent="0.25">
      <c r="A95" s="51"/>
      <c r="B95" s="191"/>
      <c r="C95" s="194"/>
      <c r="D95" s="193"/>
      <c r="E95" s="210"/>
      <c r="F95" s="194"/>
      <c r="G95" s="195"/>
      <c r="H95" s="51"/>
      <c r="I95" s="191"/>
      <c r="J95" s="194"/>
      <c r="K95" s="193"/>
      <c r="L95" s="210"/>
      <c r="M95" s="194"/>
      <c r="N95" s="195"/>
      <c r="O95" s="51"/>
    </row>
    <row r="96" spans="1:15" s="214" customFormat="1" ht="15" hidden="1" x14ac:dyDescent="0.25">
      <c r="A96" s="51"/>
      <c r="B96" s="191"/>
      <c r="C96" s="194"/>
      <c r="D96" s="193"/>
      <c r="E96" s="210"/>
      <c r="F96" s="194"/>
      <c r="G96" s="195"/>
      <c r="H96" s="51"/>
      <c r="I96" s="191"/>
      <c r="J96" s="194"/>
      <c r="K96" s="193"/>
      <c r="L96" s="210"/>
      <c r="M96" s="194"/>
      <c r="N96" s="195"/>
      <c r="O96" s="51"/>
    </row>
    <row r="97" spans="1:15" ht="15.75" thickBot="1" x14ac:dyDescent="0.3">
      <c r="A97" s="51"/>
      <c r="B97" s="199"/>
      <c r="C97" s="200"/>
      <c r="D97" s="201"/>
      <c r="E97" s="200"/>
      <c r="F97" s="200"/>
      <c r="G97" s="203"/>
      <c r="H97" s="51"/>
      <c r="I97" s="199"/>
      <c r="J97" s="200"/>
      <c r="K97" s="201"/>
      <c r="L97" s="200"/>
      <c r="M97" s="200"/>
      <c r="N97" s="203"/>
      <c r="O97" s="51"/>
    </row>
    <row r="98" spans="1:15" ht="15.75" thickBot="1" x14ac:dyDescent="0.3">
      <c r="A98" s="51"/>
      <c r="B98" s="51"/>
      <c r="C98" s="51"/>
      <c r="D98" s="51"/>
      <c r="E98" s="51"/>
      <c r="F98" s="51"/>
      <c r="G98" s="51"/>
      <c r="H98" s="51"/>
      <c r="I98" s="51"/>
      <c r="J98" s="51"/>
      <c r="K98" s="51"/>
      <c r="L98" s="51"/>
      <c r="M98" s="51"/>
      <c r="N98" s="51"/>
      <c r="O98" s="51"/>
    </row>
    <row r="99" spans="1:15" ht="15" x14ac:dyDescent="0.25">
      <c r="A99" s="51"/>
      <c r="B99" s="154" t="s">
        <v>263</v>
      </c>
      <c r="C99" s="188"/>
      <c r="D99" s="189"/>
      <c r="E99" s="188"/>
      <c r="F99" s="188"/>
      <c r="G99" s="190"/>
      <c r="H99" s="51"/>
      <c r="I99" s="154" t="s">
        <v>48</v>
      </c>
      <c r="J99" s="188"/>
      <c r="K99" s="189"/>
      <c r="L99" s="188"/>
      <c r="M99" s="188"/>
      <c r="N99" s="190"/>
      <c r="O99" s="51"/>
    </row>
    <row r="100" spans="1:15" ht="15" x14ac:dyDescent="0.25">
      <c r="A100" s="51"/>
      <c r="B100" s="385" t="s">
        <v>266</v>
      </c>
      <c r="C100" s="194"/>
      <c r="D100" s="193"/>
      <c r="E100" s="194"/>
      <c r="F100" s="194"/>
      <c r="G100" s="195"/>
      <c r="H100" s="51"/>
      <c r="I100" s="385" t="s">
        <v>267</v>
      </c>
      <c r="J100" s="194"/>
      <c r="K100" s="193"/>
      <c r="L100" s="194"/>
      <c r="M100" s="194"/>
      <c r="N100" s="195"/>
      <c r="O100" s="51"/>
    </row>
    <row r="101" spans="1:15" ht="15" x14ac:dyDescent="0.25">
      <c r="A101" s="51"/>
      <c r="B101" s="191"/>
      <c r="C101" s="194"/>
      <c r="D101" s="193"/>
      <c r="E101" s="197"/>
      <c r="F101" s="194"/>
      <c r="G101" s="195"/>
      <c r="H101" s="51"/>
      <c r="I101" s="191"/>
      <c r="J101" s="194"/>
      <c r="K101" s="193"/>
      <c r="L101" s="197"/>
      <c r="M101" s="194"/>
      <c r="N101" s="195"/>
      <c r="O101" s="51"/>
    </row>
    <row r="102" spans="1:15" ht="15" x14ac:dyDescent="0.25">
      <c r="A102" s="51"/>
      <c r="B102" s="191"/>
      <c r="C102" s="192"/>
      <c r="D102" s="193" t="s">
        <v>259</v>
      </c>
      <c r="E102" s="380">
        <v>225</v>
      </c>
      <c r="F102" s="194"/>
      <c r="G102" s="195"/>
      <c r="H102" s="51"/>
      <c r="I102" s="191"/>
      <c r="J102" s="192"/>
      <c r="K102" s="193" t="s">
        <v>261</v>
      </c>
      <c r="L102" s="380">
        <v>280</v>
      </c>
      <c r="M102" s="194" t="s">
        <v>91</v>
      </c>
      <c r="N102" s="195"/>
      <c r="O102" s="51"/>
    </row>
    <row r="103" spans="1:15" ht="15" hidden="1" x14ac:dyDescent="0.25">
      <c r="A103" s="51"/>
      <c r="B103" s="191"/>
      <c r="C103" s="194" t="s">
        <v>93</v>
      </c>
      <c r="D103" s="193"/>
      <c r="E103" s="215">
        <f>VLOOKUP(E102,PipeSizes,2)/1000</f>
        <v>0.25900000000000001</v>
      </c>
      <c r="F103" s="194" t="s">
        <v>91</v>
      </c>
      <c r="G103" s="195"/>
      <c r="I103" s="191"/>
      <c r="J103" s="194" t="s">
        <v>93</v>
      </c>
      <c r="K103" s="193"/>
      <c r="L103" s="215">
        <f>L102/1000</f>
        <v>0.28000000000000003</v>
      </c>
      <c r="M103" s="194"/>
      <c r="N103" s="195"/>
    </row>
    <row r="104" spans="1:15" ht="15" hidden="1" x14ac:dyDescent="0.25">
      <c r="A104" s="51"/>
      <c r="B104" s="191"/>
      <c r="C104" s="194" t="s">
        <v>92</v>
      </c>
      <c r="D104" s="193"/>
      <c r="E104" s="215">
        <f>D141*E103^2/4</f>
        <v>5.2685294198864231E-2</v>
      </c>
      <c r="F104" s="194" t="s">
        <v>88</v>
      </c>
      <c r="G104" s="195"/>
      <c r="I104" s="191"/>
      <c r="J104" s="194" t="s">
        <v>92</v>
      </c>
      <c r="K104" s="193"/>
      <c r="L104" s="215">
        <f>K141*L103^2/4</f>
        <v>6.1575216010359951E-2</v>
      </c>
      <c r="M104" s="194" t="s">
        <v>88</v>
      </c>
      <c r="N104" s="195"/>
    </row>
    <row r="105" spans="1:15" ht="15" x14ac:dyDescent="0.25">
      <c r="A105" s="51"/>
      <c r="B105" s="191"/>
      <c r="C105" s="194"/>
      <c r="D105" s="193"/>
      <c r="E105" s="193"/>
      <c r="F105" s="194"/>
      <c r="G105" s="195"/>
      <c r="H105" s="51"/>
      <c r="I105" s="191"/>
      <c r="J105" s="194"/>
      <c r="K105" s="193"/>
      <c r="L105" s="193"/>
      <c r="M105" s="194"/>
      <c r="N105" s="195"/>
      <c r="O105" s="51"/>
    </row>
    <row r="106" spans="1:15" ht="15" x14ac:dyDescent="0.25">
      <c r="A106" s="51"/>
      <c r="B106" s="191"/>
      <c r="C106" s="192"/>
      <c r="D106" s="193" t="s">
        <v>260</v>
      </c>
      <c r="E106" s="162">
        <v>100</v>
      </c>
      <c r="F106" s="194"/>
      <c r="G106" s="195"/>
      <c r="H106" s="51"/>
      <c r="I106" s="191"/>
      <c r="J106" s="192"/>
      <c r="K106" s="193" t="s">
        <v>262</v>
      </c>
      <c r="L106" s="162">
        <v>125</v>
      </c>
      <c r="M106" s="194" t="s">
        <v>91</v>
      </c>
      <c r="N106" s="195"/>
      <c r="O106" s="51"/>
    </row>
    <row r="107" spans="1:15" ht="15" hidden="1" x14ac:dyDescent="0.25">
      <c r="A107" s="51"/>
      <c r="B107" s="191"/>
      <c r="C107" s="194" t="s">
        <v>90</v>
      </c>
      <c r="D107" s="193"/>
      <c r="E107" s="196">
        <f>VLOOKUP(E106,PipeSizes,2)/1000</f>
        <v>0.122</v>
      </c>
      <c r="F107" s="194" t="s">
        <v>61</v>
      </c>
      <c r="G107" s="195"/>
      <c r="H107" s="51"/>
      <c r="I107" s="191"/>
      <c r="J107" s="194" t="s">
        <v>90</v>
      </c>
      <c r="K107" s="193"/>
      <c r="L107" s="196">
        <f>L106/1000</f>
        <v>0.125</v>
      </c>
      <c r="M107" s="194" t="s">
        <v>61</v>
      </c>
      <c r="N107" s="195"/>
      <c r="O107" s="51"/>
    </row>
    <row r="108" spans="1:15" ht="15" hidden="1" x14ac:dyDescent="0.25">
      <c r="A108" s="51"/>
      <c r="B108" s="191"/>
      <c r="C108" s="194" t="s">
        <v>89</v>
      </c>
      <c r="D108" s="193"/>
      <c r="E108" s="215">
        <f>D141*E107^2/4</f>
        <v>1.168986626400762E-2</v>
      </c>
      <c r="F108" s="194" t="s">
        <v>88</v>
      </c>
      <c r="G108" s="195"/>
      <c r="H108" s="51"/>
      <c r="I108" s="191"/>
      <c r="J108" s="194" t="s">
        <v>89</v>
      </c>
      <c r="K108" s="193"/>
      <c r="L108" s="215">
        <f>K141*L107^2/4</f>
        <v>1.2271846303085129E-2</v>
      </c>
      <c r="M108" s="194" t="s">
        <v>88</v>
      </c>
      <c r="N108" s="195"/>
      <c r="O108" s="51"/>
    </row>
    <row r="109" spans="1:15" ht="15" hidden="1" x14ac:dyDescent="0.25">
      <c r="A109" s="51"/>
      <c r="B109" s="191"/>
      <c r="C109" s="207" t="s">
        <v>268</v>
      </c>
      <c r="D109" s="193"/>
      <c r="E109" s="197"/>
      <c r="F109" s="194"/>
      <c r="G109" s="195"/>
      <c r="H109" s="51"/>
      <c r="I109" s="191"/>
      <c r="J109" s="207" t="s">
        <v>268</v>
      </c>
      <c r="K109" s="193"/>
      <c r="L109" s="197"/>
      <c r="M109" s="194"/>
      <c r="N109" s="195"/>
      <c r="O109" s="51"/>
    </row>
    <row r="110" spans="1:15" ht="15" hidden="1" x14ac:dyDescent="0.25">
      <c r="A110" s="51"/>
      <c r="B110" s="191"/>
      <c r="C110" s="194" t="s">
        <v>270</v>
      </c>
      <c r="D110" s="193"/>
      <c r="E110" s="206">
        <f>(2*E112+E113+E114)*TAN(E117)</f>
        <v>2.8228834169915036</v>
      </c>
      <c r="F110" s="194" t="s">
        <v>78</v>
      </c>
      <c r="G110" s="195"/>
      <c r="H110" s="51"/>
      <c r="I110" s="191"/>
      <c r="J110" s="194" t="s">
        <v>270</v>
      </c>
      <c r="K110" s="193"/>
      <c r="L110" s="206">
        <f>(2*L112+L113+L114)*TAN(L117)</f>
        <v>2.9371206334714635</v>
      </c>
      <c r="M110" s="194" t="s">
        <v>78</v>
      </c>
      <c r="N110" s="195"/>
      <c r="O110" s="51"/>
    </row>
    <row r="111" spans="1:15" ht="15" hidden="1" x14ac:dyDescent="0.25">
      <c r="A111" s="51"/>
      <c r="B111" s="191"/>
      <c r="C111" s="194" t="s">
        <v>87</v>
      </c>
      <c r="D111" s="193"/>
      <c r="E111" s="212">
        <f>$E$7+E103/2</f>
        <v>0.57950000000000002</v>
      </c>
      <c r="F111" s="194" t="s">
        <v>61</v>
      </c>
      <c r="G111" s="195"/>
      <c r="H111" s="51"/>
      <c r="I111" s="191"/>
      <c r="J111" s="194" t="s">
        <v>87</v>
      </c>
      <c r="K111" s="193"/>
      <c r="L111" s="196">
        <f>$E$7+L103/2</f>
        <v>0.59000000000000008</v>
      </c>
      <c r="M111" s="194" t="s">
        <v>61</v>
      </c>
      <c r="N111" s="195"/>
      <c r="O111" s="51"/>
    </row>
    <row r="112" spans="1:15" ht="15" hidden="1" x14ac:dyDescent="0.25">
      <c r="A112" s="51"/>
      <c r="B112" s="191"/>
      <c r="C112" s="194" t="s">
        <v>86</v>
      </c>
      <c r="D112" s="193" t="s">
        <v>80</v>
      </c>
      <c r="E112" s="206">
        <f>$D$149*E111*E103</f>
        <v>2.1162760499999997</v>
      </c>
      <c r="F112" s="194"/>
      <c r="G112" s="195"/>
      <c r="H112" s="51"/>
      <c r="I112" s="191"/>
      <c r="J112" s="194" t="s">
        <v>86</v>
      </c>
      <c r="K112" s="193" t="s">
        <v>80</v>
      </c>
      <c r="L112" s="206">
        <f>$D$149*L111*L103</f>
        <v>2.3293200000000005</v>
      </c>
      <c r="M112" s="194"/>
      <c r="N112" s="195"/>
      <c r="O112" s="51"/>
    </row>
    <row r="113" spans="1:15" ht="15" hidden="1" x14ac:dyDescent="0.25">
      <c r="A113" s="51"/>
      <c r="B113" s="191"/>
      <c r="C113" s="194" t="s">
        <v>85</v>
      </c>
      <c r="D113" s="193" t="s">
        <v>79</v>
      </c>
      <c r="E113" s="206">
        <f>((($D$141*E103^2/4)-($D$141*(E103-E115)^2/4))*$D$151)+((($D$141*(E103-E115)^2/4)-($D$141*(E103-E115-E116)^2/4))*$D$153)</f>
        <v>0.37909598550868062</v>
      </c>
      <c r="F113" s="194" t="s">
        <v>78</v>
      </c>
      <c r="G113" s="195"/>
      <c r="H113" s="51"/>
      <c r="I113" s="191"/>
      <c r="J113" s="194" t="s">
        <v>85</v>
      </c>
      <c r="K113" s="193" t="s">
        <v>79</v>
      </c>
      <c r="L113" s="206">
        <f>((($K$141*L103^2/4)-($K$141*L115^2/4))*$K$151)</f>
        <v>0.19813459379513185</v>
      </c>
      <c r="M113" s="194" t="s">
        <v>78</v>
      </c>
      <c r="N113" s="195"/>
      <c r="O113" s="51"/>
    </row>
    <row r="114" spans="1:15" ht="15" hidden="1" x14ac:dyDescent="0.25">
      <c r="A114" s="51"/>
      <c r="B114" s="191"/>
      <c r="C114" s="194" t="s">
        <v>84</v>
      </c>
      <c r="D114" s="193"/>
      <c r="E114" s="206">
        <f>$D$155*($D$141*(E103-E115-E116)^2/4)</f>
        <v>0.44862728491425641</v>
      </c>
      <c r="F114" s="194" t="s">
        <v>78</v>
      </c>
      <c r="G114" s="195"/>
      <c r="H114" s="51"/>
      <c r="I114" s="191"/>
      <c r="J114" s="194" t="s">
        <v>84</v>
      </c>
      <c r="K114" s="193"/>
      <c r="L114" s="206">
        <f>$D$155*($D$141*L115^2/4)</f>
        <v>0.40828138126052954</v>
      </c>
      <c r="M114" s="194" t="s">
        <v>78</v>
      </c>
      <c r="N114" s="195"/>
      <c r="O114" s="51"/>
    </row>
    <row r="115" spans="1:15" ht="15" hidden="1" x14ac:dyDescent="0.25">
      <c r="A115" s="51"/>
      <c r="B115" s="191"/>
      <c r="C115" s="194" t="s">
        <v>83</v>
      </c>
      <c r="D115" s="193"/>
      <c r="E115" s="196">
        <f>$D$163*2</f>
        <v>0.01</v>
      </c>
      <c r="F115" s="194" t="s">
        <v>61</v>
      </c>
      <c r="G115" s="195"/>
      <c r="H115" s="51"/>
      <c r="I115" s="191"/>
      <c r="J115" s="194" t="s">
        <v>241</v>
      </c>
      <c r="K115" s="193"/>
      <c r="L115" s="196">
        <f>VLOOKUP(L102,PolyID,2)/1000</f>
        <v>0.22800000000000001</v>
      </c>
      <c r="M115" s="194" t="s">
        <v>61</v>
      </c>
      <c r="N115" s="195"/>
      <c r="O115" s="51"/>
    </row>
    <row r="116" spans="1:15" ht="15" hidden="1" x14ac:dyDescent="0.25">
      <c r="A116" s="51"/>
      <c r="B116" s="191"/>
      <c r="C116" s="194" t="s">
        <v>82</v>
      </c>
      <c r="D116" s="193"/>
      <c r="E116" s="196">
        <f>$D$165*2</f>
        <v>0.01</v>
      </c>
      <c r="F116" s="194" t="s">
        <v>61</v>
      </c>
      <c r="G116" s="195"/>
      <c r="H116" s="51"/>
      <c r="I116" s="191"/>
      <c r="J116" s="194"/>
      <c r="K116" s="193"/>
      <c r="L116" s="196"/>
      <c r="M116" s="194"/>
      <c r="N116" s="195"/>
      <c r="O116" s="51"/>
    </row>
    <row r="117" spans="1:15" ht="15" hidden="1" x14ac:dyDescent="0.25">
      <c r="A117" s="51"/>
      <c r="B117" s="191"/>
      <c r="C117" s="194" t="s">
        <v>81</v>
      </c>
      <c r="D117" s="193" t="s">
        <v>77</v>
      </c>
      <c r="E117" s="211">
        <f>$D$157*$D$159</f>
        <v>22.5</v>
      </c>
      <c r="F117" s="194" t="s">
        <v>66</v>
      </c>
      <c r="G117" s="195"/>
      <c r="H117" s="51"/>
      <c r="I117" s="191"/>
      <c r="J117" s="194" t="s">
        <v>81</v>
      </c>
      <c r="K117" s="193" t="s">
        <v>77</v>
      </c>
      <c r="L117" s="211">
        <f>$D$157*$D$159</f>
        <v>22.5</v>
      </c>
      <c r="M117" s="194" t="s">
        <v>66</v>
      </c>
      <c r="N117" s="195"/>
      <c r="O117" s="51"/>
    </row>
    <row r="118" spans="1:15" ht="15" hidden="1" x14ac:dyDescent="0.25">
      <c r="A118" s="51"/>
      <c r="B118" s="191"/>
      <c r="C118" s="194" t="s">
        <v>269</v>
      </c>
      <c r="D118" s="193"/>
      <c r="E118" s="206">
        <f>D143*E4*(E104)</f>
        <v>126.44470607727415</v>
      </c>
      <c r="F118" s="194" t="s">
        <v>209</v>
      </c>
      <c r="G118" s="195"/>
      <c r="H118" s="51"/>
      <c r="I118" s="191"/>
      <c r="J118" s="194" t="s">
        <v>269</v>
      </c>
      <c r="K118" s="193"/>
      <c r="L118" s="206">
        <f>K143*L4*(L104)</f>
        <v>147.78051842486389</v>
      </c>
      <c r="M118" s="194" t="s">
        <v>209</v>
      </c>
      <c r="N118" s="195"/>
      <c r="O118" s="51"/>
    </row>
    <row r="119" spans="1:15" ht="15" hidden="1" x14ac:dyDescent="0.25">
      <c r="A119" s="51"/>
      <c r="B119" s="191"/>
      <c r="C119" s="194" t="s">
        <v>270</v>
      </c>
      <c r="D119" s="193"/>
      <c r="E119" s="206">
        <f>E110</f>
        <v>2.8228834169915036</v>
      </c>
      <c r="F119" s="194" t="s">
        <v>78</v>
      </c>
      <c r="G119" s="195"/>
      <c r="H119" s="51"/>
      <c r="I119" s="191"/>
      <c r="J119" s="194" t="s">
        <v>270</v>
      </c>
      <c r="K119" s="193"/>
      <c r="L119" s="206">
        <f>L110</f>
        <v>2.9371206334714635</v>
      </c>
      <c r="M119" s="194" t="s">
        <v>78</v>
      </c>
      <c r="N119" s="195"/>
      <c r="O119" s="51"/>
    </row>
    <row r="120" spans="1:15" ht="15" x14ac:dyDescent="0.25">
      <c r="A120" s="51"/>
      <c r="B120" s="191"/>
      <c r="C120" s="194"/>
      <c r="D120" s="193"/>
      <c r="E120" s="208"/>
      <c r="F120" s="194"/>
      <c r="G120" s="195"/>
      <c r="H120" s="51"/>
      <c r="I120" s="191"/>
      <c r="J120" s="194"/>
      <c r="K120" s="193"/>
      <c r="L120" s="208"/>
      <c r="M120" s="194"/>
      <c r="N120" s="195"/>
      <c r="O120" s="51"/>
    </row>
    <row r="121" spans="1:15" ht="15" x14ac:dyDescent="0.25">
      <c r="A121" s="51"/>
      <c r="B121" s="191"/>
      <c r="C121" s="194"/>
      <c r="D121" s="193" t="s">
        <v>273</v>
      </c>
      <c r="E121" s="209">
        <f>E118/E119</f>
        <v>44.792748193629961</v>
      </c>
      <c r="F121" s="194" t="s">
        <v>61</v>
      </c>
      <c r="G121" s="195"/>
      <c r="H121" s="51"/>
      <c r="I121" s="191"/>
      <c r="J121" s="194"/>
      <c r="K121" s="193" t="s">
        <v>273</v>
      </c>
      <c r="L121" s="209">
        <f>L118/L119</f>
        <v>50.314759544008936</v>
      </c>
      <c r="M121" s="194" t="s">
        <v>61</v>
      </c>
      <c r="N121" s="195"/>
      <c r="O121" s="51"/>
    </row>
    <row r="122" spans="1:15" ht="15" x14ac:dyDescent="0.25">
      <c r="A122" s="51"/>
      <c r="B122" s="191"/>
      <c r="D122" s="193"/>
      <c r="E122" s="196"/>
      <c r="F122" s="194"/>
      <c r="G122" s="195"/>
      <c r="H122" s="51"/>
      <c r="I122" s="191"/>
      <c r="J122" s="194"/>
      <c r="K122" s="193"/>
      <c r="L122" s="196"/>
      <c r="M122" s="194"/>
      <c r="N122" s="195"/>
      <c r="O122" s="51"/>
    </row>
    <row r="123" spans="1:15" ht="15" hidden="1" x14ac:dyDescent="0.25">
      <c r="A123" s="51"/>
      <c r="B123" s="191"/>
      <c r="C123" s="207" t="s">
        <v>271</v>
      </c>
      <c r="D123" s="193"/>
      <c r="E123" s="196"/>
      <c r="F123" s="194"/>
      <c r="G123" s="195"/>
      <c r="H123" s="51"/>
      <c r="I123" s="191"/>
      <c r="J123" s="207" t="s">
        <v>271</v>
      </c>
      <c r="K123" s="193"/>
      <c r="L123" s="196"/>
      <c r="M123" s="194"/>
      <c r="N123" s="195"/>
      <c r="O123" s="51"/>
    </row>
    <row r="124" spans="1:15" ht="15" hidden="1" x14ac:dyDescent="0.25">
      <c r="A124" s="51"/>
      <c r="B124" s="191"/>
      <c r="C124" s="194" t="s">
        <v>270</v>
      </c>
      <c r="D124" s="193"/>
      <c r="E124" s="212">
        <f>(2*E127+E128+E129)*TAN(E132)</f>
        <v>1.1225438999817257</v>
      </c>
      <c r="F124" s="194" t="s">
        <v>78</v>
      </c>
      <c r="G124" s="195"/>
      <c r="H124" s="51"/>
      <c r="I124" s="191"/>
      <c r="J124" s="194" t="s">
        <v>270</v>
      </c>
      <c r="K124" s="193"/>
      <c r="L124" s="212">
        <f>(2*L127+L128+L130)*TAN(L132)</f>
        <v>1.0868321389329623</v>
      </c>
      <c r="M124" s="194" t="s">
        <v>78</v>
      </c>
      <c r="N124" s="195"/>
      <c r="O124" s="51"/>
    </row>
    <row r="125" spans="1:15" ht="15" hidden="1" x14ac:dyDescent="0.25">
      <c r="A125" s="51"/>
      <c r="B125" s="191"/>
      <c r="C125" s="187" t="s">
        <v>104</v>
      </c>
      <c r="D125" s="193"/>
      <c r="E125" s="196">
        <f>E7</f>
        <v>0.45</v>
      </c>
      <c r="F125" s="194" t="s">
        <v>61</v>
      </c>
      <c r="G125" s="195"/>
      <c r="H125" s="51"/>
      <c r="I125" s="191"/>
      <c r="J125" s="187" t="s">
        <v>104</v>
      </c>
      <c r="K125" s="193"/>
      <c r="L125" s="196">
        <f>L7</f>
        <v>0.45</v>
      </c>
      <c r="M125" s="194" t="s">
        <v>78</v>
      </c>
      <c r="N125" s="195"/>
      <c r="O125" s="51"/>
    </row>
    <row r="126" spans="1:15" ht="15" hidden="1" x14ac:dyDescent="0.25">
      <c r="A126" s="51"/>
      <c r="B126" s="191"/>
      <c r="C126" s="194" t="s">
        <v>87</v>
      </c>
      <c r="D126" s="193"/>
      <c r="E126" s="196">
        <f>E125+E107/2</f>
        <v>0.51100000000000001</v>
      </c>
      <c r="F126" s="194" t="s">
        <v>61</v>
      </c>
      <c r="G126" s="195"/>
      <c r="H126" s="51"/>
      <c r="I126" s="191"/>
      <c r="J126" s="194" t="s">
        <v>87</v>
      </c>
      <c r="K126" s="193"/>
      <c r="L126" s="196">
        <f>L125+L107/2</f>
        <v>0.51249999999999996</v>
      </c>
      <c r="M126" s="194" t="s">
        <v>61</v>
      </c>
      <c r="N126" s="195"/>
      <c r="O126" s="51"/>
    </row>
    <row r="127" spans="1:15" ht="15" hidden="1" x14ac:dyDescent="0.25">
      <c r="A127" s="51"/>
      <c r="B127" s="191"/>
      <c r="C127" s="194" t="s">
        <v>86</v>
      </c>
      <c r="D127" s="193" t="s">
        <v>80</v>
      </c>
      <c r="E127" s="212">
        <f>D149*E107*E126</f>
        <v>0.87902219999999998</v>
      </c>
      <c r="F127" s="194"/>
      <c r="G127" s="195"/>
      <c r="H127" s="51"/>
      <c r="I127" s="191"/>
      <c r="J127" s="194" t="s">
        <v>86</v>
      </c>
      <c r="K127" s="193" t="s">
        <v>80</v>
      </c>
      <c r="L127" s="205">
        <f>K149*L107*L126</f>
        <v>0.90328124999999992</v>
      </c>
      <c r="M127" s="194"/>
      <c r="N127" s="195"/>
      <c r="O127" s="51"/>
    </row>
    <row r="128" spans="1:15" ht="15" hidden="1" x14ac:dyDescent="0.25">
      <c r="A128" s="51"/>
      <c r="B128" s="191"/>
      <c r="C128" s="194" t="s">
        <v>85</v>
      </c>
      <c r="D128" s="193" t="s">
        <v>79</v>
      </c>
      <c r="E128" s="205">
        <f>(((D141*E107^2/4)-(D141*(E107-E130)^2/4))*D151)+(((D141*(E107-E130)^2/4)-(D141*(E107-E130-E131)^2/4))*D153)</f>
        <v>0.17250485260861539</v>
      </c>
      <c r="F128" s="194" t="s">
        <v>78</v>
      </c>
      <c r="G128" s="195"/>
      <c r="H128" s="51"/>
      <c r="I128" s="191"/>
      <c r="J128" s="194" t="s">
        <v>85</v>
      </c>
      <c r="K128" s="193" t="s">
        <v>79</v>
      </c>
      <c r="L128" s="205">
        <f>((K141*L107^2/4)-(K141*L130^2/4))*K151</f>
        <v>4.0682996545457095E-2</v>
      </c>
      <c r="M128" s="194" t="s">
        <v>78</v>
      </c>
      <c r="N128" s="195"/>
      <c r="O128" s="51"/>
    </row>
    <row r="129" spans="1:15" ht="15" hidden="1" x14ac:dyDescent="0.25">
      <c r="A129" s="51"/>
      <c r="B129" s="191"/>
      <c r="C129" s="194" t="s">
        <v>84</v>
      </c>
      <c r="D129" s="193"/>
      <c r="E129" s="212">
        <f>D155*(D141*(E107-E130-E131)^2/4)</f>
        <v>8.171282491987053E-2</v>
      </c>
      <c r="F129" s="194" t="s">
        <v>78</v>
      </c>
      <c r="G129" s="195"/>
      <c r="H129" s="51"/>
      <c r="I129" s="191"/>
      <c r="J129" s="194" t="s">
        <v>84</v>
      </c>
      <c r="K129" s="193"/>
      <c r="L129" s="205">
        <f>(PI()*L130^2/4)*K155</f>
        <v>8.0118466648173708E-2</v>
      </c>
      <c r="M129" s="194"/>
      <c r="N129" s="195"/>
      <c r="O129" s="51"/>
    </row>
    <row r="130" spans="1:15" ht="15" hidden="1" x14ac:dyDescent="0.25">
      <c r="A130" s="51"/>
      <c r="B130" s="191"/>
      <c r="C130" s="194" t="s">
        <v>83</v>
      </c>
      <c r="D130" s="193"/>
      <c r="E130" s="196">
        <f>D163*2</f>
        <v>0.01</v>
      </c>
      <c r="F130" s="194" t="s">
        <v>61</v>
      </c>
      <c r="G130" s="195"/>
      <c r="H130" s="51"/>
      <c r="I130" s="191"/>
      <c r="J130" s="194" t="s">
        <v>241</v>
      </c>
      <c r="K130" s="193"/>
      <c r="L130" s="205">
        <f>VLOOKUP(L106,PolyID,2)/1000</f>
        <v>0.10100000000000001</v>
      </c>
      <c r="M130" s="194" t="s">
        <v>61</v>
      </c>
      <c r="N130" s="195"/>
      <c r="O130" s="51"/>
    </row>
    <row r="131" spans="1:15" ht="15" hidden="1" x14ac:dyDescent="0.25">
      <c r="A131" s="51"/>
      <c r="B131" s="191"/>
      <c r="C131" s="194" t="s">
        <v>82</v>
      </c>
      <c r="D131" s="193"/>
      <c r="E131" s="196">
        <f>D165*2</f>
        <v>0.01</v>
      </c>
      <c r="F131" s="194" t="s">
        <v>61</v>
      </c>
      <c r="G131" s="195"/>
      <c r="H131" s="51"/>
      <c r="I131" s="191"/>
      <c r="J131" s="194"/>
      <c r="K131" s="193"/>
      <c r="L131" s="196"/>
      <c r="M131" s="194"/>
      <c r="N131" s="195"/>
      <c r="O131" s="51"/>
    </row>
    <row r="132" spans="1:15" ht="15" hidden="1" x14ac:dyDescent="0.25">
      <c r="A132" s="51"/>
      <c r="B132" s="191"/>
      <c r="C132" s="194" t="s">
        <v>81</v>
      </c>
      <c r="D132" s="193" t="s">
        <v>77</v>
      </c>
      <c r="E132" s="196">
        <f>D157*D159</f>
        <v>22.5</v>
      </c>
      <c r="F132" s="194" t="s">
        <v>66</v>
      </c>
      <c r="G132" s="195"/>
      <c r="H132" s="51"/>
      <c r="I132" s="191"/>
      <c r="J132" s="194" t="s">
        <v>81</v>
      </c>
      <c r="K132" s="193" t="s">
        <v>77</v>
      </c>
      <c r="L132" s="196">
        <f>K157*K159</f>
        <v>22.5</v>
      </c>
      <c r="M132" s="194" t="s">
        <v>66</v>
      </c>
      <c r="N132" s="195"/>
      <c r="O132" s="51"/>
    </row>
    <row r="133" spans="1:15" ht="15" hidden="1" x14ac:dyDescent="0.25">
      <c r="A133" s="51"/>
      <c r="B133" s="191"/>
      <c r="C133" s="194" t="s">
        <v>269</v>
      </c>
      <c r="D133" s="193"/>
      <c r="E133" s="206">
        <f>D143*E4*E108</f>
        <v>28.055679033618286</v>
      </c>
      <c r="F133" s="194" t="s">
        <v>78</v>
      </c>
      <c r="G133" s="195"/>
      <c r="H133" s="51"/>
      <c r="I133" s="191"/>
      <c r="J133" s="194" t="s">
        <v>269</v>
      </c>
      <c r="K133" s="193"/>
      <c r="L133" s="206">
        <f>K143*L4*L108</f>
        <v>29.45243112740431</v>
      </c>
      <c r="M133" s="194" t="s">
        <v>209</v>
      </c>
      <c r="N133" s="195"/>
      <c r="O133" s="51"/>
    </row>
    <row r="134" spans="1:15" ht="15" x14ac:dyDescent="0.25">
      <c r="A134" s="51"/>
      <c r="B134" s="191"/>
      <c r="C134" s="194"/>
      <c r="D134" s="193" t="s">
        <v>272</v>
      </c>
      <c r="E134" s="209">
        <f>E133/E124</f>
        <v>24.992945963249202</v>
      </c>
      <c r="F134" s="194" t="s">
        <v>61</v>
      </c>
      <c r="G134" s="195"/>
      <c r="H134" s="51"/>
      <c r="I134" s="191"/>
      <c r="J134" s="194"/>
      <c r="K134" s="193" t="s">
        <v>272</v>
      </c>
      <c r="L134" s="209">
        <f>L133/L124</f>
        <v>27.099337673543889</v>
      </c>
      <c r="M134" s="194" t="s">
        <v>61</v>
      </c>
      <c r="N134" s="195"/>
      <c r="O134" s="51"/>
    </row>
    <row r="135" spans="1:15" ht="15.75" thickBot="1" x14ac:dyDescent="0.3">
      <c r="A135" s="51"/>
      <c r="B135" s="199"/>
      <c r="C135" s="200"/>
      <c r="D135" s="201"/>
      <c r="E135" s="216"/>
      <c r="F135" s="200"/>
      <c r="G135" s="203"/>
      <c r="H135" s="51"/>
      <c r="I135" s="199"/>
      <c r="J135" s="200"/>
      <c r="K135" s="201"/>
      <c r="L135" s="216"/>
      <c r="M135" s="200"/>
      <c r="N135" s="203"/>
      <c r="O135" s="51"/>
    </row>
    <row r="136" spans="1:15" ht="15.75" thickBot="1" x14ac:dyDescent="0.3">
      <c r="A136" s="51"/>
      <c r="B136" s="51"/>
      <c r="C136" s="51"/>
      <c r="D136" s="51"/>
      <c r="E136" s="51"/>
      <c r="F136" s="51"/>
      <c r="G136" s="51"/>
      <c r="H136" s="51"/>
      <c r="I136" s="51"/>
      <c r="J136" s="51"/>
      <c r="K136" s="51"/>
      <c r="L136" s="51"/>
      <c r="M136" s="51"/>
      <c r="N136" s="51"/>
      <c r="O136" s="51"/>
    </row>
    <row r="137" spans="1:15" ht="15" x14ac:dyDescent="0.25">
      <c r="A137" s="51"/>
      <c r="B137" s="154" t="s">
        <v>76</v>
      </c>
      <c r="C137" s="188"/>
      <c r="D137" s="189"/>
      <c r="E137" s="188"/>
      <c r="F137" s="188"/>
      <c r="G137" s="190"/>
      <c r="H137" s="51"/>
      <c r="I137" s="154" t="s">
        <v>76</v>
      </c>
      <c r="J137" s="188"/>
      <c r="K137" s="189"/>
      <c r="L137" s="188"/>
      <c r="M137" s="188"/>
      <c r="N137" s="190"/>
      <c r="O137" s="51"/>
    </row>
    <row r="138" spans="1:15" ht="26.25" customHeight="1" x14ac:dyDescent="0.25">
      <c r="A138" s="51"/>
      <c r="B138" s="191"/>
      <c r="C138" s="372" t="s">
        <v>161</v>
      </c>
      <c r="D138" s="373"/>
      <c r="E138" s="373"/>
      <c r="F138" s="373"/>
      <c r="G138" s="195"/>
      <c r="H138" s="51"/>
      <c r="I138" s="191"/>
      <c r="J138" s="372" t="s">
        <v>161</v>
      </c>
      <c r="K138" s="373"/>
      <c r="L138" s="373"/>
      <c r="M138" s="373"/>
      <c r="N138" s="195"/>
      <c r="O138" s="51"/>
    </row>
    <row r="139" spans="1:15" ht="15" x14ac:dyDescent="0.25">
      <c r="A139" s="51"/>
      <c r="B139" s="191"/>
      <c r="C139" s="217" t="s">
        <v>232</v>
      </c>
      <c r="D139" s="194"/>
      <c r="E139" s="194"/>
      <c r="F139" s="194"/>
      <c r="G139" s="195"/>
      <c r="H139" s="51"/>
      <c r="I139" s="191"/>
      <c r="J139" s="217" t="s">
        <v>232</v>
      </c>
      <c r="K139" s="194"/>
      <c r="L139" s="194"/>
      <c r="M139" s="194"/>
      <c r="N139" s="195"/>
      <c r="O139" s="51"/>
    </row>
    <row r="140" spans="1:15" ht="15" x14ac:dyDescent="0.25">
      <c r="A140" s="51"/>
      <c r="B140" s="191"/>
      <c r="C140" s="217"/>
      <c r="D140" s="194"/>
      <c r="E140" s="194"/>
      <c r="F140" s="194"/>
      <c r="G140" s="195"/>
      <c r="H140" s="51"/>
      <c r="I140" s="191"/>
      <c r="J140" s="217"/>
      <c r="K140" s="194"/>
      <c r="L140" s="194"/>
      <c r="M140" s="194"/>
      <c r="N140" s="195"/>
      <c r="O140" s="51"/>
    </row>
    <row r="141" spans="1:15" ht="13.5" customHeight="1" x14ac:dyDescent="0.25">
      <c r="A141" s="51"/>
      <c r="B141" s="191"/>
      <c r="C141" s="193" t="s">
        <v>134</v>
      </c>
      <c r="D141" s="171">
        <f>PI()</f>
        <v>3.1415926535897931</v>
      </c>
      <c r="E141" s="194"/>
      <c r="F141" s="194"/>
      <c r="G141" s="195"/>
      <c r="H141" s="51"/>
      <c r="I141" s="191"/>
      <c r="J141" s="193" t="s">
        <v>134</v>
      </c>
      <c r="K141" s="171">
        <f>PI()</f>
        <v>3.1415926535897931</v>
      </c>
      <c r="L141" s="194"/>
      <c r="M141" s="194"/>
      <c r="N141" s="195"/>
      <c r="O141" s="51"/>
    </row>
    <row r="142" spans="1:15" ht="13.5" customHeight="1" x14ac:dyDescent="0.25">
      <c r="A142" s="51"/>
      <c r="B142" s="191"/>
      <c r="C142" s="194"/>
      <c r="D142" s="194"/>
      <c r="E142" s="194"/>
      <c r="F142" s="194"/>
      <c r="G142" s="195"/>
      <c r="H142" s="51"/>
      <c r="I142" s="191"/>
      <c r="J142" s="194"/>
      <c r="K142" s="194"/>
      <c r="L142" s="194"/>
      <c r="M142" s="194"/>
      <c r="N142" s="195"/>
      <c r="O142" s="51"/>
    </row>
    <row r="143" spans="1:15" ht="13.5" customHeight="1" x14ac:dyDescent="0.25">
      <c r="A143" s="51"/>
      <c r="B143" s="191"/>
      <c r="C143" s="193" t="s">
        <v>75</v>
      </c>
      <c r="D143" s="171">
        <v>1.5</v>
      </c>
      <c r="E143" s="194"/>
      <c r="F143" s="194"/>
      <c r="G143" s="195"/>
      <c r="H143" s="51"/>
      <c r="I143" s="191"/>
      <c r="J143" s="193" t="s">
        <v>75</v>
      </c>
      <c r="K143" s="171">
        <v>1.5</v>
      </c>
      <c r="L143" s="194"/>
      <c r="M143" s="194"/>
      <c r="N143" s="195"/>
      <c r="O143" s="51"/>
    </row>
    <row r="144" spans="1:15" ht="13.5" customHeight="1" x14ac:dyDescent="0.25">
      <c r="A144" s="51"/>
      <c r="B144" s="191"/>
      <c r="C144" s="193"/>
      <c r="D144" s="194"/>
      <c r="E144" s="194"/>
      <c r="F144" s="194"/>
      <c r="G144" s="195"/>
      <c r="H144" s="51"/>
      <c r="I144" s="191"/>
      <c r="J144" s="193"/>
      <c r="K144" s="194"/>
      <c r="L144" s="194"/>
      <c r="M144" s="194"/>
      <c r="N144" s="195"/>
      <c r="O144" s="51"/>
    </row>
    <row r="145" spans="1:15" ht="13.5" customHeight="1" x14ac:dyDescent="0.25">
      <c r="A145" s="51"/>
      <c r="B145" s="191"/>
      <c r="C145" s="193" t="s">
        <v>74</v>
      </c>
      <c r="D145" s="171">
        <v>0</v>
      </c>
      <c r="E145" s="194" t="s">
        <v>73</v>
      </c>
      <c r="F145" s="194"/>
      <c r="G145" s="195"/>
      <c r="H145" s="51"/>
      <c r="I145" s="191"/>
      <c r="J145" s="193" t="s">
        <v>74</v>
      </c>
      <c r="K145" s="171">
        <v>0</v>
      </c>
      <c r="L145" s="194" t="s">
        <v>73</v>
      </c>
      <c r="M145" s="194"/>
      <c r="N145" s="195"/>
      <c r="O145" s="51"/>
    </row>
    <row r="146" spans="1:15" ht="13.5" customHeight="1" x14ac:dyDescent="0.25">
      <c r="A146" s="51"/>
      <c r="B146" s="191"/>
      <c r="C146" s="193"/>
      <c r="D146" s="194"/>
      <c r="E146" s="194"/>
      <c r="F146" s="194"/>
      <c r="G146" s="195"/>
      <c r="H146" s="51"/>
      <c r="I146" s="191"/>
      <c r="J146" s="193"/>
      <c r="K146" s="194"/>
      <c r="L146" s="194"/>
      <c r="M146" s="194"/>
      <c r="N146" s="195"/>
      <c r="O146" s="51"/>
    </row>
    <row r="147" spans="1:15" ht="13.5" customHeight="1" x14ac:dyDescent="0.25">
      <c r="A147" s="51"/>
      <c r="B147" s="191"/>
      <c r="C147" s="193" t="s">
        <v>72</v>
      </c>
      <c r="D147" s="171">
        <v>0</v>
      </c>
      <c r="E147" s="194" t="s">
        <v>68</v>
      </c>
      <c r="F147" s="194"/>
      <c r="G147" s="195"/>
      <c r="H147" s="51"/>
      <c r="I147" s="191"/>
      <c r="J147" s="193" t="s">
        <v>72</v>
      </c>
      <c r="K147" s="171">
        <v>0</v>
      </c>
      <c r="L147" s="194" t="s">
        <v>68</v>
      </c>
      <c r="M147" s="194"/>
      <c r="N147" s="195"/>
      <c r="O147" s="51"/>
    </row>
    <row r="148" spans="1:15" ht="13.5" customHeight="1" x14ac:dyDescent="0.25">
      <c r="A148" s="51"/>
      <c r="B148" s="191"/>
      <c r="C148" s="193"/>
      <c r="D148" s="194"/>
      <c r="E148" s="194"/>
      <c r="F148" s="194"/>
      <c r="G148" s="195"/>
      <c r="H148" s="51"/>
      <c r="I148" s="191"/>
      <c r="J148" s="193"/>
      <c r="K148" s="194"/>
      <c r="L148" s="194"/>
      <c r="M148" s="194"/>
      <c r="N148" s="195"/>
      <c r="O148" s="51"/>
    </row>
    <row r="149" spans="1:15" ht="13.5" customHeight="1" x14ac:dyDescent="0.25">
      <c r="A149" s="51"/>
      <c r="B149" s="191"/>
      <c r="C149" s="193" t="s">
        <v>71</v>
      </c>
      <c r="D149" s="171">
        <v>14.1</v>
      </c>
      <c r="E149" s="194" t="s">
        <v>68</v>
      </c>
      <c r="F149" s="194"/>
      <c r="G149" s="195"/>
      <c r="H149" s="51"/>
      <c r="I149" s="191"/>
      <c r="J149" s="193" t="s">
        <v>71</v>
      </c>
      <c r="K149" s="171">
        <v>14.1</v>
      </c>
      <c r="L149" s="194" t="s">
        <v>68</v>
      </c>
      <c r="M149" s="194"/>
      <c r="N149" s="195"/>
      <c r="O149" s="51"/>
    </row>
    <row r="150" spans="1:15" ht="13.5" customHeight="1" x14ac:dyDescent="0.25">
      <c r="A150" s="51"/>
      <c r="B150" s="191"/>
      <c r="C150" s="193"/>
      <c r="D150" s="194"/>
      <c r="E150" s="194"/>
      <c r="F150" s="194"/>
      <c r="G150" s="195"/>
      <c r="H150" s="51"/>
      <c r="I150" s="191"/>
      <c r="J150" s="193"/>
      <c r="K150" s="194"/>
      <c r="L150" s="194"/>
      <c r="M150" s="194"/>
      <c r="N150" s="195"/>
      <c r="O150" s="51"/>
    </row>
    <row r="151" spans="1:15" ht="13.5" customHeight="1" x14ac:dyDescent="0.25">
      <c r="A151" s="51"/>
      <c r="B151" s="191"/>
      <c r="C151" s="193" t="s">
        <v>70</v>
      </c>
      <c r="D151" s="171">
        <v>71</v>
      </c>
      <c r="E151" s="194" t="s">
        <v>68</v>
      </c>
      <c r="F151" s="194"/>
      <c r="G151" s="195"/>
      <c r="H151" s="51"/>
      <c r="I151" s="191"/>
      <c r="J151" s="193" t="s">
        <v>235</v>
      </c>
      <c r="K151" s="377">
        <v>9.5500000000000007</v>
      </c>
      <c r="L151" s="194" t="s">
        <v>68</v>
      </c>
      <c r="M151" s="194"/>
      <c r="N151" s="195"/>
      <c r="O151" s="51"/>
    </row>
    <row r="152" spans="1:15" ht="13.5" customHeight="1" x14ac:dyDescent="0.25">
      <c r="A152" s="51"/>
      <c r="B152" s="191"/>
      <c r="C152" s="193"/>
      <c r="D152" s="194"/>
      <c r="E152" s="194"/>
      <c r="F152" s="194"/>
      <c r="G152" s="195"/>
      <c r="H152" s="51"/>
      <c r="I152" s="191"/>
      <c r="J152" s="193"/>
      <c r="K152" s="194"/>
      <c r="L152" s="194"/>
      <c r="M152" s="194"/>
      <c r="N152" s="195"/>
      <c r="O152" s="51"/>
    </row>
    <row r="153" spans="1:15" ht="13.5" customHeight="1" x14ac:dyDescent="0.25">
      <c r="A153" s="51"/>
      <c r="B153" s="191"/>
      <c r="C153" s="193" t="s">
        <v>69</v>
      </c>
      <c r="D153" s="171">
        <v>25</v>
      </c>
      <c r="E153" s="194" t="s">
        <v>68</v>
      </c>
      <c r="F153" s="194"/>
      <c r="G153" s="195"/>
      <c r="H153" s="51"/>
      <c r="I153" s="191"/>
      <c r="J153" s="193" t="s">
        <v>236</v>
      </c>
      <c r="K153" s="171">
        <v>11</v>
      </c>
      <c r="L153" s="194"/>
      <c r="M153" s="194"/>
      <c r="N153" s="195"/>
      <c r="O153" s="51"/>
    </row>
    <row r="154" spans="1:15" ht="13.5" customHeight="1" x14ac:dyDescent="0.25">
      <c r="A154" s="51"/>
      <c r="B154" s="191"/>
      <c r="C154" s="193"/>
      <c r="D154" s="194"/>
      <c r="E154" s="194"/>
      <c r="F154" s="194"/>
      <c r="G154" s="195"/>
      <c r="H154" s="51"/>
      <c r="I154" s="191"/>
      <c r="J154" s="193"/>
      <c r="K154" s="194"/>
      <c r="L154" s="194"/>
      <c r="M154" s="194"/>
      <c r="N154" s="195"/>
      <c r="O154" s="51"/>
    </row>
    <row r="155" spans="1:15" ht="13.5" customHeight="1" x14ac:dyDescent="0.25">
      <c r="A155" s="51"/>
      <c r="B155" s="191"/>
      <c r="C155" s="193" t="s">
        <v>67</v>
      </c>
      <c r="D155" s="171">
        <v>10</v>
      </c>
      <c r="E155" s="194" t="s">
        <v>68</v>
      </c>
      <c r="F155" s="194"/>
      <c r="G155" s="195"/>
      <c r="H155" s="51"/>
      <c r="I155" s="191"/>
      <c r="J155" s="193" t="s">
        <v>67</v>
      </c>
      <c r="K155" s="171">
        <v>10</v>
      </c>
      <c r="L155" s="194" t="s">
        <v>68</v>
      </c>
      <c r="M155" s="194"/>
      <c r="N155" s="195"/>
      <c r="O155" s="51"/>
    </row>
    <row r="156" spans="1:15" ht="13.5" customHeight="1" x14ac:dyDescent="0.25">
      <c r="A156" s="51"/>
      <c r="B156" s="191"/>
      <c r="C156" s="193"/>
      <c r="D156" s="194"/>
      <c r="E156" s="194"/>
      <c r="F156" s="194"/>
      <c r="G156" s="195"/>
      <c r="H156" s="51"/>
      <c r="I156" s="191"/>
      <c r="J156" s="193"/>
      <c r="K156" s="194"/>
      <c r="L156" s="194"/>
      <c r="M156" s="194"/>
      <c r="N156" s="195"/>
      <c r="O156" s="51"/>
    </row>
    <row r="157" spans="1:15" ht="13.5" customHeight="1" x14ac:dyDescent="0.25">
      <c r="A157" s="51"/>
      <c r="B157" s="191"/>
      <c r="C157" s="193" t="s">
        <v>65</v>
      </c>
      <c r="D157" s="171">
        <v>30</v>
      </c>
      <c r="E157" s="194"/>
      <c r="F157" s="194"/>
      <c r="G157" s="195"/>
      <c r="H157" s="51"/>
      <c r="I157" s="191"/>
      <c r="J157" s="193" t="s">
        <v>65</v>
      </c>
      <c r="K157" s="171">
        <v>30</v>
      </c>
      <c r="L157" s="194"/>
      <c r="M157" s="194"/>
      <c r="N157" s="195"/>
      <c r="O157" s="51"/>
    </row>
    <row r="158" spans="1:15" ht="13.5" customHeight="1" x14ac:dyDescent="0.25">
      <c r="A158" s="51"/>
      <c r="B158" s="191"/>
      <c r="C158" s="193"/>
      <c r="D158" s="194"/>
      <c r="E158" s="194"/>
      <c r="F158" s="194"/>
      <c r="G158" s="195"/>
      <c r="H158" s="51"/>
      <c r="I158" s="191"/>
      <c r="J158" s="193"/>
      <c r="K158" s="194"/>
      <c r="L158" s="194"/>
      <c r="M158" s="194"/>
      <c r="N158" s="195"/>
      <c r="O158" s="51"/>
    </row>
    <row r="159" spans="1:15" ht="25.5" customHeight="1" x14ac:dyDescent="0.25">
      <c r="A159" s="51"/>
      <c r="B159" s="191"/>
      <c r="C159" s="218" t="s">
        <v>238</v>
      </c>
      <c r="D159" s="169">
        <v>0.75</v>
      </c>
      <c r="E159" s="194"/>
      <c r="F159" s="194"/>
      <c r="G159" s="195"/>
      <c r="H159" s="51"/>
      <c r="I159" s="191"/>
      <c r="J159" s="218" t="s">
        <v>237</v>
      </c>
      <c r="K159" s="169">
        <v>0.75</v>
      </c>
      <c r="L159" s="194"/>
      <c r="M159" s="194"/>
      <c r="N159" s="195"/>
      <c r="O159" s="51"/>
    </row>
    <row r="160" spans="1:15" ht="13.5" customHeight="1" x14ac:dyDescent="0.25">
      <c r="A160" s="51"/>
      <c r="B160" s="191"/>
      <c r="C160" s="193"/>
      <c r="D160" s="194"/>
      <c r="E160" s="194"/>
      <c r="F160" s="194"/>
      <c r="G160" s="195"/>
      <c r="H160" s="51"/>
      <c r="I160" s="191"/>
      <c r="J160" s="193"/>
      <c r="K160" s="194"/>
      <c r="L160" s="194"/>
      <c r="M160" s="194"/>
      <c r="N160" s="195"/>
      <c r="O160" s="51"/>
    </row>
    <row r="161" spans="1:15" ht="13.5" customHeight="1" x14ac:dyDescent="0.25">
      <c r="A161" s="51"/>
      <c r="B161" s="191"/>
      <c r="C161" s="193" t="s">
        <v>64</v>
      </c>
      <c r="D161" s="219">
        <v>0.95</v>
      </c>
      <c r="E161" s="194"/>
      <c r="F161" s="194"/>
      <c r="G161" s="195"/>
      <c r="H161" s="51"/>
      <c r="I161" s="191"/>
      <c r="J161" s="193" t="s">
        <v>64</v>
      </c>
      <c r="K161" s="219">
        <v>0.95</v>
      </c>
      <c r="L161" s="194"/>
      <c r="M161" s="194"/>
      <c r="N161" s="195"/>
      <c r="O161" s="51"/>
    </row>
    <row r="162" spans="1:15" ht="13.5" customHeight="1" x14ac:dyDescent="0.25">
      <c r="A162" s="51"/>
      <c r="B162" s="191"/>
      <c r="C162" s="193"/>
      <c r="D162" s="194"/>
      <c r="E162" s="194"/>
      <c r="F162" s="194"/>
      <c r="G162" s="195"/>
      <c r="H162" s="51"/>
      <c r="I162" s="191"/>
      <c r="J162" s="193"/>
      <c r="K162" s="194"/>
      <c r="L162" s="194"/>
      <c r="M162" s="194"/>
      <c r="N162" s="195"/>
      <c r="O162" s="51"/>
    </row>
    <row r="163" spans="1:15" ht="13.5" customHeight="1" x14ac:dyDescent="0.25">
      <c r="A163" s="51"/>
      <c r="B163" s="191"/>
      <c r="C163" s="193" t="s">
        <v>63</v>
      </c>
      <c r="D163" s="171">
        <v>5.0000000000000001E-3</v>
      </c>
      <c r="E163" s="194" t="s">
        <v>61</v>
      </c>
      <c r="F163" s="194"/>
      <c r="G163" s="195"/>
      <c r="H163" s="51"/>
      <c r="I163" s="191"/>
      <c r="M163" s="194"/>
      <c r="N163" s="195"/>
      <c r="O163" s="51"/>
    </row>
    <row r="164" spans="1:15" ht="13.5" customHeight="1" x14ac:dyDescent="0.25">
      <c r="A164" s="51"/>
      <c r="B164" s="191"/>
      <c r="C164" s="193"/>
      <c r="D164" s="194"/>
      <c r="E164" s="194"/>
      <c r="F164" s="194"/>
      <c r="G164" s="195"/>
      <c r="H164" s="51"/>
      <c r="I164" s="191"/>
      <c r="J164" s="193"/>
      <c r="K164" s="194"/>
      <c r="L164" s="194"/>
      <c r="M164" s="194"/>
      <c r="N164" s="195"/>
      <c r="O164" s="51"/>
    </row>
    <row r="165" spans="1:15" ht="13.5" customHeight="1" x14ac:dyDescent="0.25">
      <c r="A165" s="51"/>
      <c r="B165" s="191"/>
      <c r="C165" s="193" t="s">
        <v>62</v>
      </c>
      <c r="D165" s="171">
        <v>5.0000000000000001E-3</v>
      </c>
      <c r="E165" s="194" t="s">
        <v>61</v>
      </c>
      <c r="F165" s="194"/>
      <c r="G165" s="195"/>
      <c r="H165" s="51"/>
      <c r="I165" s="191"/>
      <c r="J165" s="193"/>
      <c r="K165" s="194"/>
      <c r="L165" s="194"/>
      <c r="M165" s="194"/>
      <c r="N165" s="195"/>
      <c r="O165" s="51"/>
    </row>
    <row r="166" spans="1:15" ht="15.75" thickBot="1" x14ac:dyDescent="0.3">
      <c r="A166" s="51"/>
      <c r="B166" s="199"/>
      <c r="C166" s="200"/>
      <c r="D166" s="220"/>
      <c r="E166" s="200"/>
      <c r="F166" s="200"/>
      <c r="G166" s="203"/>
      <c r="H166" s="51"/>
      <c r="I166" s="199"/>
      <c r="J166" s="200"/>
      <c r="K166" s="220"/>
      <c r="L166" s="200"/>
      <c r="M166" s="200"/>
      <c r="N166" s="203"/>
      <c r="O166" s="51"/>
    </row>
    <row r="167" spans="1:15" ht="15" x14ac:dyDescent="0.25">
      <c r="A167" s="51"/>
      <c r="B167" s="51"/>
      <c r="C167" s="51"/>
      <c r="D167" s="51"/>
      <c r="E167" s="51"/>
      <c r="F167" s="51"/>
      <c r="G167" s="51"/>
      <c r="H167" s="29"/>
      <c r="I167" s="51"/>
      <c r="J167" s="51"/>
      <c r="K167" s="51"/>
      <c r="L167" s="51"/>
      <c r="M167" s="51"/>
      <c r="N167" s="51"/>
      <c r="O167" s="29" t="s">
        <v>228</v>
      </c>
    </row>
  </sheetData>
  <sheetProtection password="C985" sheet="1" objects="1" scenarios="1"/>
  <dataConsolidate/>
  <mergeCells count="3">
    <mergeCell ref="C138:F138"/>
    <mergeCell ref="H1:I1"/>
    <mergeCell ref="J138:M138"/>
  </mergeCells>
  <dataValidations count="2">
    <dataValidation type="list" allowBlank="1" showInputMessage="1" showErrorMessage="1" sqref="L106 L102:L103 L18 L56 L66 L76">
      <formula1>Poly</formula1>
    </dataValidation>
    <dataValidation type="list" allowBlank="1" showInputMessage="1" showErrorMessage="1" sqref="E18 E56 E66 E76 E102 E106">
      <formula1>Pipes</formula1>
    </dataValidation>
  </dataValidations>
  <hyperlinks>
    <hyperlink ref="H1:I1" location="Dashboard!A1" display="Menu"/>
  </hyperlinks>
  <pageMargins left="0.75" right="0.75" top="1" bottom="1" header="0.5" footer="0.5"/>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2:L37"/>
  <sheetViews>
    <sheetView zoomScaleNormal="100" workbookViewId="0">
      <selection activeCell="G25" sqref="G25"/>
    </sheetView>
  </sheetViews>
  <sheetFormatPr defaultRowHeight="15" x14ac:dyDescent="0.25"/>
  <cols>
    <col min="2" max="2" width="23.85546875" bestFit="1" customWidth="1"/>
    <col min="3" max="3" width="18.7109375" bestFit="1" customWidth="1"/>
    <col min="4" max="5" width="12.85546875" bestFit="1" customWidth="1"/>
    <col min="6" max="6" width="25.28515625" bestFit="1" customWidth="1"/>
    <col min="7" max="7" width="10.42578125" bestFit="1" customWidth="1"/>
  </cols>
  <sheetData>
    <row r="2" spans="2:12" ht="18.75" x14ac:dyDescent="0.3">
      <c r="B2" s="15" t="s">
        <v>36</v>
      </c>
    </row>
    <row r="3" spans="2:12" ht="15.75" thickBot="1" x14ac:dyDescent="0.3"/>
    <row r="4" spans="2:12" x14ac:dyDescent="0.25">
      <c r="B4" s="268" t="s">
        <v>44</v>
      </c>
      <c r="C4" s="264" t="s">
        <v>35</v>
      </c>
      <c r="D4" s="14" t="s">
        <v>34</v>
      </c>
      <c r="E4" s="13"/>
      <c r="F4" s="12" t="s">
        <v>33</v>
      </c>
      <c r="G4" s="47" t="s">
        <v>32</v>
      </c>
      <c r="H4" s="32" t="s">
        <v>121</v>
      </c>
      <c r="I4" s="33" t="s">
        <v>122</v>
      </c>
      <c r="J4" s="41"/>
      <c r="K4" s="41"/>
    </row>
    <row r="5" spans="2:12" x14ac:dyDescent="0.25">
      <c r="B5" s="269" t="s">
        <v>200</v>
      </c>
      <c r="C5" s="9">
        <v>11.25</v>
      </c>
      <c r="D5" s="10" t="s">
        <v>30</v>
      </c>
      <c r="E5" s="8" t="s">
        <v>29</v>
      </c>
      <c r="F5" s="3" t="s">
        <v>154</v>
      </c>
      <c r="G5" s="9">
        <v>50</v>
      </c>
      <c r="H5" s="10">
        <v>125</v>
      </c>
      <c r="I5" s="8">
        <v>101</v>
      </c>
      <c r="J5" s="42">
        <f>PI()*(I5/2)^2</f>
        <v>8011.8466648173699</v>
      </c>
      <c r="K5" s="42"/>
      <c r="L5" s="3"/>
    </row>
    <row r="6" spans="2:12" x14ac:dyDescent="0.25">
      <c r="B6" s="269" t="s">
        <v>204</v>
      </c>
      <c r="C6" s="9">
        <v>22.5</v>
      </c>
      <c r="D6" s="10">
        <v>100</v>
      </c>
      <c r="E6" s="8">
        <v>122</v>
      </c>
      <c r="F6" s="9" t="s">
        <v>155</v>
      </c>
      <c r="G6" s="9">
        <v>50</v>
      </c>
      <c r="H6" s="31">
        <v>180</v>
      </c>
      <c r="I6" s="34">
        <v>146</v>
      </c>
      <c r="J6" s="42">
        <f t="shared" ref="J6:J13" si="0">PI()*(I6/2)^2</f>
        <v>16741.547250980009</v>
      </c>
      <c r="L6" s="3"/>
    </row>
    <row r="7" spans="2:12" x14ac:dyDescent="0.25">
      <c r="B7" s="269" t="s">
        <v>202</v>
      </c>
      <c r="C7" s="9">
        <v>30</v>
      </c>
      <c r="D7" s="10">
        <v>125</v>
      </c>
      <c r="E7" s="8">
        <v>144</v>
      </c>
      <c r="F7" s="9" t="s">
        <v>156</v>
      </c>
      <c r="G7" s="9">
        <v>100</v>
      </c>
      <c r="H7" s="31">
        <v>280</v>
      </c>
      <c r="I7" s="34">
        <v>228</v>
      </c>
      <c r="J7" s="42">
        <f t="shared" si="0"/>
        <v>40828.138126052952</v>
      </c>
      <c r="L7" s="3"/>
    </row>
    <row r="8" spans="2:12" ht="15.75" thickBot="1" x14ac:dyDescent="0.3">
      <c r="B8" s="270" t="s">
        <v>201</v>
      </c>
      <c r="C8" s="9">
        <v>45</v>
      </c>
      <c r="D8" s="10">
        <v>150</v>
      </c>
      <c r="E8" s="8">
        <v>177</v>
      </c>
      <c r="F8" s="9" t="s">
        <v>157</v>
      </c>
      <c r="G8" s="9">
        <v>100</v>
      </c>
      <c r="H8" s="31">
        <v>315</v>
      </c>
      <c r="I8" s="34">
        <v>256</v>
      </c>
      <c r="J8" s="42">
        <f t="shared" si="0"/>
        <v>51471.85403641517</v>
      </c>
      <c r="L8" s="3"/>
    </row>
    <row r="9" spans="2:12" x14ac:dyDescent="0.25">
      <c r="C9" s="10">
        <v>60</v>
      </c>
      <c r="D9" s="10">
        <v>200</v>
      </c>
      <c r="E9" s="8">
        <v>222</v>
      </c>
      <c r="F9" s="9" t="s">
        <v>158</v>
      </c>
      <c r="G9" s="9">
        <v>100</v>
      </c>
      <c r="H9" s="31">
        <v>355</v>
      </c>
      <c r="I9" s="34">
        <v>289</v>
      </c>
      <c r="J9" s="42">
        <f t="shared" si="0"/>
        <v>65597.240005118278</v>
      </c>
      <c r="L9" s="3"/>
    </row>
    <row r="10" spans="2:12" ht="15.75" thickBot="1" x14ac:dyDescent="0.3">
      <c r="C10" s="11">
        <v>90</v>
      </c>
      <c r="D10" s="10">
        <v>225</v>
      </c>
      <c r="E10" s="8">
        <v>259</v>
      </c>
      <c r="F10" s="9" t="s">
        <v>159</v>
      </c>
      <c r="G10" s="9">
        <v>200</v>
      </c>
      <c r="H10" s="31">
        <v>400</v>
      </c>
      <c r="I10" s="34">
        <v>325</v>
      </c>
      <c r="J10" s="42">
        <f t="shared" si="0"/>
        <v>82957.681008855478</v>
      </c>
      <c r="L10" s="3"/>
    </row>
    <row r="11" spans="2:12" ht="15.75" thickBot="1" x14ac:dyDescent="0.3">
      <c r="D11" s="10">
        <v>250</v>
      </c>
      <c r="E11" s="8">
        <v>274</v>
      </c>
      <c r="F11" s="6" t="s">
        <v>160</v>
      </c>
      <c r="G11" s="6">
        <v>200</v>
      </c>
      <c r="H11" s="31">
        <v>500</v>
      </c>
      <c r="I11" s="34">
        <v>407</v>
      </c>
      <c r="J11" s="42">
        <f t="shared" si="0"/>
        <v>130100.42036862391</v>
      </c>
      <c r="L11" s="3"/>
    </row>
    <row r="12" spans="2:12" x14ac:dyDescent="0.25">
      <c r="D12" s="10">
        <v>300</v>
      </c>
      <c r="E12" s="8">
        <v>345</v>
      </c>
      <c r="H12" s="31">
        <v>560</v>
      </c>
      <c r="I12" s="34">
        <v>455</v>
      </c>
      <c r="J12" s="42">
        <f t="shared" si="0"/>
        <v>162597.05477735674</v>
      </c>
    </row>
    <row r="13" spans="2:12" ht="15.75" thickBot="1" x14ac:dyDescent="0.3">
      <c r="D13" s="10">
        <v>350</v>
      </c>
      <c r="E13" s="8">
        <v>378</v>
      </c>
      <c r="H13" s="7">
        <v>630</v>
      </c>
      <c r="I13" s="35">
        <v>512</v>
      </c>
      <c r="J13" s="42">
        <f t="shared" si="0"/>
        <v>205887.41614566068</v>
      </c>
    </row>
    <row r="14" spans="2:12" x14ac:dyDescent="0.25">
      <c r="D14" s="10">
        <v>375</v>
      </c>
      <c r="E14" s="8">
        <v>426</v>
      </c>
    </row>
    <row r="15" spans="2:12" x14ac:dyDescent="0.25">
      <c r="D15" s="10">
        <v>400</v>
      </c>
      <c r="E15" s="8">
        <v>429</v>
      </c>
    </row>
    <row r="16" spans="2:12" x14ac:dyDescent="0.25">
      <c r="D16" s="10">
        <v>450</v>
      </c>
      <c r="E16" s="8">
        <v>507</v>
      </c>
    </row>
    <row r="17" spans="3:10" x14ac:dyDescent="0.25">
      <c r="D17" s="10">
        <v>500</v>
      </c>
      <c r="E17" s="8">
        <v>532</v>
      </c>
      <c r="H17" s="41"/>
      <c r="I17" s="41"/>
      <c r="J17" s="9"/>
    </row>
    <row r="18" spans="3:10" x14ac:dyDescent="0.25">
      <c r="C18" s="4"/>
      <c r="D18" s="10">
        <v>600</v>
      </c>
      <c r="E18" s="8">
        <v>667</v>
      </c>
      <c r="H18" s="9"/>
      <c r="I18" s="9"/>
      <c r="J18" s="9"/>
    </row>
    <row r="19" spans="3:10" x14ac:dyDescent="0.25">
      <c r="D19" s="10">
        <v>675</v>
      </c>
      <c r="E19" s="8">
        <v>747</v>
      </c>
      <c r="H19" s="9"/>
      <c r="I19" s="9"/>
      <c r="J19" s="9"/>
    </row>
    <row r="20" spans="3:10" x14ac:dyDescent="0.25">
      <c r="D20" s="10">
        <v>750</v>
      </c>
      <c r="E20" s="8">
        <v>826</v>
      </c>
      <c r="H20" s="9"/>
      <c r="I20" s="9"/>
      <c r="J20" s="9"/>
    </row>
    <row r="21" spans="3:10" x14ac:dyDescent="0.25">
      <c r="D21" s="10">
        <v>825</v>
      </c>
      <c r="E21" s="8">
        <v>838</v>
      </c>
      <c r="H21" s="9"/>
      <c r="I21" s="9"/>
      <c r="J21" s="9"/>
    </row>
    <row r="22" spans="3:10" x14ac:dyDescent="0.25">
      <c r="D22" s="10">
        <v>900</v>
      </c>
      <c r="E22" s="8">
        <v>972</v>
      </c>
      <c r="H22" s="3"/>
      <c r="I22" s="3"/>
      <c r="J22" s="9"/>
    </row>
    <row r="23" spans="3:10" x14ac:dyDescent="0.25">
      <c r="D23" s="10">
        <v>1050</v>
      </c>
      <c r="E23" s="8">
        <v>1125</v>
      </c>
      <c r="H23" s="3"/>
      <c r="I23" s="3"/>
      <c r="J23" s="9"/>
    </row>
    <row r="24" spans="3:10" x14ac:dyDescent="0.25">
      <c r="D24" s="10">
        <v>1150</v>
      </c>
      <c r="E24" s="8">
        <v>1200</v>
      </c>
      <c r="H24" s="3"/>
      <c r="I24" s="3"/>
      <c r="J24" s="9"/>
    </row>
    <row r="25" spans="3:10" x14ac:dyDescent="0.25">
      <c r="D25" s="10">
        <v>1200</v>
      </c>
      <c r="E25" s="8">
        <v>1219</v>
      </c>
      <c r="H25" s="3"/>
      <c r="I25" s="3"/>
      <c r="J25" s="9"/>
    </row>
    <row r="26" spans="3:10" x14ac:dyDescent="0.25">
      <c r="D26" s="10">
        <v>1350</v>
      </c>
      <c r="E26" s="8">
        <v>1404</v>
      </c>
      <c r="H26" s="3"/>
      <c r="I26" s="3"/>
      <c r="J26" s="9"/>
    </row>
    <row r="27" spans="3:10" x14ac:dyDescent="0.25">
      <c r="D27" s="10">
        <v>1700</v>
      </c>
      <c r="E27" s="8">
        <v>1752</v>
      </c>
      <c r="H27" s="3"/>
      <c r="I27" s="3"/>
      <c r="J27" s="9"/>
    </row>
    <row r="28" spans="3:10" ht="15.75" thickBot="1" x14ac:dyDescent="0.3">
      <c r="D28" s="11">
        <v>2100</v>
      </c>
      <c r="E28" s="5">
        <v>2160</v>
      </c>
      <c r="H28" s="3"/>
      <c r="I28" s="3"/>
      <c r="J28" s="9"/>
    </row>
    <row r="29" spans="3:10" x14ac:dyDescent="0.25">
      <c r="H29" s="3"/>
      <c r="I29" s="3"/>
      <c r="J29" s="9"/>
    </row>
    <row r="30" spans="3:10" x14ac:dyDescent="0.25">
      <c r="H30" s="9"/>
      <c r="I30" s="9"/>
      <c r="J30" s="9"/>
    </row>
    <row r="37" spans="6:6" x14ac:dyDescent="0.25">
      <c r="F37" s="48"/>
    </row>
  </sheetData>
  <dataValidations disablePrompts="1" count="2">
    <dataValidation type="list" allowBlank="1" showInputMessage="1" showErrorMessage="1" sqref="B17">
      <formula1>$E$4:$E$4</formula1>
    </dataValidation>
    <dataValidation type="list" allowBlank="1" showInputMessage="1" showErrorMessage="1" sqref="B18">
      <formula1>$D$6:$D$11</formula1>
    </dataValidation>
  </dataValidation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9</vt:i4>
      </vt:variant>
    </vt:vector>
  </HeadingPairs>
  <TitlesOfParts>
    <vt:vector size="16" baseType="lpstr">
      <vt:lpstr>Dashboard</vt:lpstr>
      <vt:lpstr>Pressure Testing PE Pipe</vt:lpstr>
      <vt:lpstr>Concrete Thrust Anchorage(Proj)</vt:lpstr>
      <vt:lpstr>Concrete Thrust Anchorage(Ind)</vt:lpstr>
      <vt:lpstr>PE Shrinkage Restraint</vt:lpstr>
      <vt:lpstr>Restrained Main Lengths</vt:lpstr>
      <vt:lpstr>Settings</vt:lpstr>
      <vt:lpstr>Pipes</vt:lpstr>
      <vt:lpstr>PipeSizes</vt:lpstr>
      <vt:lpstr>Poly</vt:lpstr>
      <vt:lpstr>PolyID</vt:lpstr>
      <vt:lpstr>POLYIDCSA</vt:lpstr>
      <vt:lpstr>'Concrete Thrust Anchorage(Proj)'!Print_Area</vt:lpstr>
      <vt:lpstr>SoilType</vt:lpstr>
      <vt:lpstr>SoilTypes</vt:lpstr>
      <vt:lpstr>Dashboard!watercalculator</vt:lpstr>
    </vt:vector>
  </TitlesOfParts>
  <Company>South East Water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MRWA Water Design Calculators</dc:title>
  <dc:subject>MRWA Water Design Calculators</dc:subject>
  <dc:creator>Luke Butler(lbutler@sewl.com.au)</dc:creator>
  <dc:description>www.mrwa.com.au</dc:description>
  <cp:lastModifiedBy>Robert Jagger</cp:lastModifiedBy>
  <cp:lastPrinted>2013-01-07T20:53:49Z</cp:lastPrinted>
  <dcterms:created xsi:type="dcterms:W3CDTF">2012-04-03T22:35:10Z</dcterms:created>
  <dcterms:modified xsi:type="dcterms:W3CDTF">2016-12-01T03:17:24Z</dcterms:modified>
</cp:coreProperties>
</file>